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Ex1.xml" ContentType="application/vnd.ms-office.chartex+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Ex3.xml" ContentType="application/vnd.ms-office.chartex+xml"/>
  <Override PartName="/xl/charts/style12.xml" ContentType="application/vnd.ms-office.chartstyle+xml"/>
  <Override PartName="/xl/charts/colors12.xml" ContentType="application/vnd.ms-office.chartcolorstyle+xml"/>
  <Override PartName="/xl/charts/chartEx4.xml" ContentType="application/vnd.ms-office.chartex+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irena.sharepoint.com/sites/COALA/Shared Documents/2024-CEM-TSSC/Supply Chain Cost Model/Protected version website/"/>
    </mc:Choice>
  </mc:AlternateContent>
  <xr:revisionPtr revIDLastSave="101" documentId="8_{53D1E1E2-F9E2-4DC8-8DBE-78B1DAAB2C1C}" xr6:coauthVersionLast="47" xr6:coauthVersionMax="47" xr10:uidLastSave="{EE522B3E-5B6B-4EA0-ABD8-C9A7E8014392}"/>
  <workbookProtection workbookAlgorithmName="SHA-512" workbookHashValue="n8oR9IcDoYH8lpNQ/qnntXx5Eu32IsY7R2sx3jEQQaXFjbLsAM5jzqsH/tR0dqkhqksz5//yTuP96G1Jn/U44g==" workbookSaltValue="Lj0Fz//oXyuoRUqAy2cApg==" workbookSpinCount="100000" lockStructure="1"/>
  <bookViews>
    <workbookView xWindow="-90" yWindow="-90" windowWidth="19380" windowHeight="11460" tabRatio="786" activeTab="2" xr2:uid="{6AF935BE-A759-4396-B04B-55A03F92B48F}"/>
  </bookViews>
  <sheets>
    <sheet name="Title" sheetId="16" r:id="rId1"/>
    <sheet name="About" sheetId="15" r:id="rId2"/>
    <sheet name="Inputs" sheetId="3" r:id="rId3"/>
    <sheet name="Output_Visualization" sheetId="5" r:id="rId4"/>
    <sheet name="Cost Model_Calculations" sheetId="4" r:id="rId5"/>
    <sheet name="Assumptions" sheetId="9" state="hidden" r:id="rId6"/>
    <sheet name="Country_Index" sheetId="11" state="hidden" r:id="rId7"/>
    <sheet name="Dropdown_Lists" sheetId="14" state="hidden" r:id="rId8"/>
  </sheets>
  <definedNames>
    <definedName name="_xlchart.v1.0" hidden="1">Output_Visualization!$B$223:$B$227</definedName>
    <definedName name="_xlchart.v1.1" hidden="1">Output_Visualization!$C$222</definedName>
    <definedName name="_xlchart.v1.10" hidden="1">Output_Visualization!$C$206</definedName>
    <definedName name="_xlchart.v1.11" hidden="1">Output_Visualization!$C$207:$C$211</definedName>
    <definedName name="_xlchart.v1.2" hidden="1">Output_Visualization!$C$223:$C$227</definedName>
    <definedName name="_xlchart.v1.3" hidden="1">Output_Visualization!$B$215:$B$219</definedName>
    <definedName name="_xlchart.v1.4" hidden="1">Output_Visualization!$C$214</definedName>
    <definedName name="_xlchart.v1.5" hidden="1">Output_Visualization!$C$215:$C$219</definedName>
    <definedName name="_xlchart.v1.6" hidden="1">Output_Visualization!$B$199:$B$203</definedName>
    <definedName name="_xlchart.v1.7" hidden="1">Output_Visualization!$C$198</definedName>
    <definedName name="_xlchart.v1.8" hidden="1">Output_Visualization!$C$199:$C$203</definedName>
    <definedName name="_xlchart.v1.9" hidden="1">Output_Visualization!$B$207:$B$211</definedName>
    <definedName name="Australia_SourceOptions">Dropdown_Lists!$B$6:$B$7</definedName>
    <definedName name="China_SourceOptions">Dropdown_Lists!$B$12</definedName>
    <definedName name="Germany_SourceOptions">Dropdown_Lists!$B$2:$B$3</definedName>
    <definedName name="India_SourceOptions">Dropdown_Lists!$B$4:$B$5</definedName>
    <definedName name="US_SourceOptions">Dropdown_Lists!$B$10:$B$11</definedName>
    <definedName name="Vietnam_SourceOptions">Dropdown_Lists!$B$8:$B$9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1" i="4" l="1"/>
  <c r="H87" i="4"/>
  <c r="D21" i="4"/>
  <c r="D10" i="4"/>
  <c r="J9" i="4"/>
  <c r="G40" i="11" l="1"/>
  <c r="E46" i="9"/>
  <c r="D183" i="4" s="1"/>
  <c r="E35" i="9"/>
  <c r="E51" i="4"/>
  <c r="F51" i="4"/>
  <c r="G51" i="4"/>
  <c r="H51" i="4"/>
  <c r="D51" i="4"/>
  <c r="E24" i="9"/>
  <c r="E19" i="9"/>
  <c r="E128" i="4" s="1"/>
  <c r="D19" i="9"/>
  <c r="L32" i="4" s="1"/>
  <c r="E25" i="9"/>
  <c r="E117" i="4"/>
  <c r="F117" i="4"/>
  <c r="G117" i="4"/>
  <c r="H117" i="4"/>
  <c r="I117" i="4"/>
  <c r="J117" i="4"/>
  <c r="K117" i="4"/>
  <c r="L117" i="4"/>
  <c r="M117" i="4"/>
  <c r="N117" i="4"/>
  <c r="D117" i="4"/>
  <c r="E21" i="4"/>
  <c r="F21" i="4"/>
  <c r="G21" i="4"/>
  <c r="H21" i="4"/>
  <c r="I21" i="4"/>
  <c r="J21" i="4"/>
  <c r="K21" i="4"/>
  <c r="L21" i="4"/>
  <c r="M21" i="4"/>
  <c r="N21" i="4"/>
  <c r="G15" i="11"/>
  <c r="E170" i="4"/>
  <c r="F170" i="4"/>
  <c r="G170" i="4"/>
  <c r="H170" i="4"/>
  <c r="I170" i="4"/>
  <c r="J170" i="4"/>
  <c r="K170" i="4"/>
  <c r="L170" i="4"/>
  <c r="M170" i="4"/>
  <c r="N170" i="4"/>
  <c r="D170" i="4"/>
  <c r="N171" i="4"/>
  <c r="E171" i="4"/>
  <c r="F171" i="4"/>
  <c r="G171" i="4"/>
  <c r="H171" i="4"/>
  <c r="I171" i="4"/>
  <c r="J171" i="4"/>
  <c r="K171" i="4"/>
  <c r="L171" i="4"/>
  <c r="M171" i="4"/>
  <c r="D171" i="4"/>
  <c r="E168" i="4"/>
  <c r="F168" i="4"/>
  <c r="G168" i="4"/>
  <c r="H168" i="4"/>
  <c r="I168" i="4"/>
  <c r="D168" i="4"/>
  <c r="E72" i="4"/>
  <c r="F72" i="4"/>
  <c r="G72" i="4"/>
  <c r="H72" i="4"/>
  <c r="I72" i="4"/>
  <c r="D72" i="4"/>
  <c r="D152" i="4"/>
  <c r="E152" i="4"/>
  <c r="F152" i="4"/>
  <c r="G152" i="4"/>
  <c r="H152" i="4"/>
  <c r="I152" i="4"/>
  <c r="J152" i="4"/>
  <c r="K152" i="4"/>
  <c r="L152" i="4"/>
  <c r="M152" i="4"/>
  <c r="N152" i="4"/>
  <c r="D54" i="3"/>
  <c r="F54" i="3" s="1"/>
  <c r="D55" i="3"/>
  <c r="F55" i="3" s="1"/>
  <c r="G137" i="4" s="1"/>
  <c r="D56" i="3"/>
  <c r="F56" i="3" s="1"/>
  <c r="E158" i="4" s="1"/>
  <c r="D57" i="3"/>
  <c r="F57" i="3" s="1"/>
  <c r="D58" i="3"/>
  <c r="F58" i="3" s="1"/>
  <c r="D59" i="3"/>
  <c r="F59" i="3" s="1"/>
  <c r="D60" i="3"/>
  <c r="F60" i="3" s="1"/>
  <c r="E136" i="4" s="1"/>
  <c r="D61" i="3"/>
  <c r="F61" i="3" s="1"/>
  <c r="F157" i="4" s="1"/>
  <c r="D62" i="3"/>
  <c r="F62" i="3" s="1"/>
  <c r="F179" i="4" s="1"/>
  <c r="D53" i="3"/>
  <c r="F53" i="3" s="1"/>
  <c r="D42" i="3"/>
  <c r="F42" i="3" s="1"/>
  <c r="D43" i="3"/>
  <c r="F43" i="3" s="1"/>
  <c r="J111" i="4" s="1"/>
  <c r="D44" i="3"/>
  <c r="F44" i="3" s="1"/>
  <c r="D45" i="3"/>
  <c r="F45" i="3" s="1"/>
  <c r="D46" i="3"/>
  <c r="F46" i="3" s="1"/>
  <c r="D41" i="3"/>
  <c r="F41" i="3" s="1"/>
  <c r="D24" i="3"/>
  <c r="F24" i="3" s="1"/>
  <c r="L78" i="4" s="1"/>
  <c r="D25" i="3"/>
  <c r="F25" i="3" s="1"/>
  <c r="D26" i="3"/>
  <c r="F26" i="3" s="1"/>
  <c r="H62" i="4" s="1"/>
  <c r="D27" i="3"/>
  <c r="F27" i="3" s="1"/>
  <c r="D28" i="3"/>
  <c r="F28" i="3" s="1"/>
  <c r="D29" i="3"/>
  <c r="F29" i="3" s="1"/>
  <c r="D30" i="3"/>
  <c r="F30" i="3" s="1"/>
  <c r="H40" i="4" s="1"/>
  <c r="D31" i="3"/>
  <c r="F31" i="3" s="1"/>
  <c r="D32" i="3"/>
  <c r="F32" i="3" s="1"/>
  <c r="N83" i="4" s="1"/>
  <c r="D23" i="3"/>
  <c r="F23" i="3" s="1"/>
  <c r="J78" i="4" s="1"/>
  <c r="D12" i="3"/>
  <c r="F12" i="3" s="1"/>
  <c r="D13" i="3"/>
  <c r="F13" i="3" s="1"/>
  <c r="D14" i="3"/>
  <c r="F14" i="3" s="1"/>
  <c r="D15" i="3"/>
  <c r="F15" i="3" s="1"/>
  <c r="D16" i="3"/>
  <c r="F16" i="3" s="1"/>
  <c r="H16" i="4" s="1"/>
  <c r="D11" i="3"/>
  <c r="F11" i="3" s="1"/>
  <c r="M156" i="4" l="1"/>
  <c r="J178" i="4"/>
  <c r="H15" i="4"/>
  <c r="I15" i="4"/>
  <c r="J15" i="4"/>
  <c r="I60" i="4"/>
  <c r="J82" i="4"/>
  <c r="J60" i="4"/>
  <c r="H18" i="4"/>
  <c r="J160" i="4"/>
  <c r="L160" i="4"/>
  <c r="G182" i="4"/>
  <c r="J182" i="4"/>
  <c r="K139" i="4"/>
  <c r="N139" i="4"/>
  <c r="D139" i="4"/>
  <c r="K160" i="4"/>
  <c r="M160" i="4"/>
  <c r="E139" i="4"/>
  <c r="F182" i="4"/>
  <c r="H182" i="4"/>
  <c r="I139" i="4"/>
  <c r="L182" i="4"/>
  <c r="M182" i="4"/>
  <c r="D182" i="4"/>
  <c r="E160" i="4"/>
  <c r="F160" i="4"/>
  <c r="G160" i="4"/>
  <c r="N160" i="4"/>
  <c r="D160" i="4"/>
  <c r="E182" i="4"/>
  <c r="F139" i="4"/>
  <c r="G139" i="4"/>
  <c r="H139" i="4"/>
  <c r="I182" i="4"/>
  <c r="J139" i="4"/>
  <c r="K182" i="4"/>
  <c r="L139" i="4"/>
  <c r="M139" i="4"/>
  <c r="N182" i="4"/>
  <c r="H160" i="4"/>
  <c r="I160" i="4"/>
  <c r="J86" i="4"/>
  <c r="I43" i="4"/>
  <c r="M86" i="4"/>
  <c r="L43" i="4"/>
  <c r="E64" i="4"/>
  <c r="F64" i="4"/>
  <c r="H64" i="4"/>
  <c r="I64" i="4"/>
  <c r="L64" i="4"/>
  <c r="M64" i="4"/>
  <c r="E86" i="4"/>
  <c r="F86" i="4"/>
  <c r="F43" i="4"/>
  <c r="H86" i="4"/>
  <c r="H43" i="4"/>
  <c r="K86" i="4"/>
  <c r="J43" i="4"/>
  <c r="L86" i="4"/>
  <c r="K43" i="4"/>
  <c r="G64" i="4"/>
  <c r="J64" i="4"/>
  <c r="K64" i="4"/>
  <c r="N64" i="4"/>
  <c r="G43" i="4"/>
  <c r="I86" i="4"/>
  <c r="N86" i="4"/>
  <c r="M43" i="4"/>
  <c r="D86" i="4"/>
  <c r="N43" i="4"/>
  <c r="D64" i="4"/>
  <c r="D43" i="4"/>
  <c r="E43" i="4"/>
  <c r="G86" i="4"/>
  <c r="H19" i="4"/>
  <c r="D19" i="4"/>
  <c r="E83" i="4"/>
  <c r="H83" i="4"/>
  <c r="L61" i="4"/>
  <c r="H61" i="4"/>
  <c r="H41" i="4"/>
  <c r="H42" i="4"/>
  <c r="H82" i="4"/>
  <c r="H60" i="4"/>
  <c r="E84" i="4"/>
  <c r="H85" i="4"/>
  <c r="H84" i="4"/>
  <c r="L115" i="4"/>
  <c r="E115" i="4"/>
  <c r="M115" i="4"/>
  <c r="F115" i="4"/>
  <c r="N115" i="4"/>
  <c r="G115" i="4"/>
  <c r="D115" i="4"/>
  <c r="H115" i="4"/>
  <c r="I115" i="4"/>
  <c r="J115" i="4"/>
  <c r="K115" i="4"/>
  <c r="K19" i="4"/>
  <c r="L19" i="4"/>
  <c r="E19" i="4"/>
  <c r="M19" i="4"/>
  <c r="F19" i="4"/>
  <c r="N19" i="4"/>
  <c r="G19" i="4"/>
  <c r="I19" i="4"/>
  <c r="J19" i="4"/>
  <c r="D173" i="4"/>
  <c r="F173" i="4"/>
  <c r="J173" i="4"/>
  <c r="G173" i="4"/>
  <c r="M173" i="4"/>
  <c r="I173" i="4"/>
  <c r="E173" i="4"/>
  <c r="H173" i="4"/>
  <c r="L173" i="4"/>
  <c r="N173" i="4"/>
  <c r="K173" i="4"/>
  <c r="I181" i="4"/>
  <c r="H178" i="4"/>
  <c r="I178" i="4"/>
  <c r="K32" i="4"/>
  <c r="J32" i="4"/>
  <c r="E82" i="4"/>
  <c r="I32" i="4"/>
  <c r="H128" i="4"/>
  <c r="K128" i="4"/>
  <c r="J128" i="4"/>
  <c r="D128" i="4"/>
  <c r="G128" i="4"/>
  <c r="I128" i="4"/>
  <c r="D32" i="4"/>
  <c r="N128" i="4"/>
  <c r="F128" i="4"/>
  <c r="L128" i="4"/>
  <c r="M128" i="4"/>
  <c r="K61" i="4"/>
  <c r="I149" i="4"/>
  <c r="J138" i="4"/>
  <c r="N136" i="4"/>
  <c r="J159" i="4"/>
  <c r="N157" i="4"/>
  <c r="K60" i="4"/>
  <c r="D60" i="4"/>
  <c r="L156" i="4"/>
  <c r="N84" i="4"/>
  <c r="L83" i="4"/>
  <c r="N180" i="4"/>
  <c r="L179" i="4"/>
  <c r="K82" i="4"/>
  <c r="D178" i="4"/>
  <c r="G178" i="4"/>
  <c r="E179" i="4"/>
  <c r="I78" i="4"/>
  <c r="I88" i="4" s="1"/>
  <c r="J61" i="4"/>
  <c r="J149" i="4"/>
  <c r="I138" i="4"/>
  <c r="M136" i="4"/>
  <c r="I159" i="4"/>
  <c r="M157" i="4"/>
  <c r="H156" i="4"/>
  <c r="K156" i="4"/>
  <c r="M84" i="4"/>
  <c r="K83" i="4"/>
  <c r="M180" i="4"/>
  <c r="K179" i="4"/>
  <c r="N178" i="4"/>
  <c r="F178" i="4"/>
  <c r="H179" i="4"/>
  <c r="H78" i="4"/>
  <c r="H32" i="4"/>
  <c r="I61" i="4"/>
  <c r="K149" i="4"/>
  <c r="N137" i="4"/>
  <c r="L136" i="4"/>
  <c r="N158" i="4"/>
  <c r="L157" i="4"/>
  <c r="J156" i="4"/>
  <c r="N85" i="4"/>
  <c r="L84" i="4"/>
  <c r="J83" i="4"/>
  <c r="N181" i="4"/>
  <c r="L180" i="4"/>
  <c r="J179" i="4"/>
  <c r="I82" i="4"/>
  <c r="M178" i="4"/>
  <c r="E178" i="4"/>
  <c r="G78" i="4"/>
  <c r="G32" i="4"/>
  <c r="D149" i="4"/>
  <c r="L149" i="4"/>
  <c r="M137" i="4"/>
  <c r="K136" i="4"/>
  <c r="M158" i="4"/>
  <c r="K157" i="4"/>
  <c r="G156" i="4"/>
  <c r="I156" i="4"/>
  <c r="M85" i="4"/>
  <c r="K84" i="4"/>
  <c r="I83" i="4"/>
  <c r="M181" i="4"/>
  <c r="K180" i="4"/>
  <c r="I179" i="4"/>
  <c r="L178" i="4"/>
  <c r="D156" i="4"/>
  <c r="N78" i="4"/>
  <c r="F78" i="4"/>
  <c r="N32" i="4"/>
  <c r="F32" i="4"/>
  <c r="E149" i="4"/>
  <c r="M149" i="4"/>
  <c r="N138" i="4"/>
  <c r="L137" i="4"/>
  <c r="J136" i="4"/>
  <c r="N159" i="4"/>
  <c r="L158" i="4"/>
  <c r="J157" i="4"/>
  <c r="G60" i="4"/>
  <c r="F156" i="4"/>
  <c r="L85" i="4"/>
  <c r="J84" i="4"/>
  <c r="L181" i="4"/>
  <c r="J180" i="4"/>
  <c r="D82" i="4"/>
  <c r="G82" i="4"/>
  <c r="K178" i="4"/>
  <c r="M78" i="4"/>
  <c r="E78" i="4"/>
  <c r="M32" i="4"/>
  <c r="E32" i="4"/>
  <c r="N61" i="4"/>
  <c r="F149" i="4"/>
  <c r="N149" i="4"/>
  <c r="M138" i="4"/>
  <c r="K137" i="4"/>
  <c r="I136" i="4"/>
  <c r="M159" i="4"/>
  <c r="K158" i="4"/>
  <c r="I157" i="4"/>
  <c r="F60" i="4"/>
  <c r="E156" i="4"/>
  <c r="K85" i="4"/>
  <c r="I84" i="4"/>
  <c r="K181" i="4"/>
  <c r="I180" i="4"/>
  <c r="N82" i="4"/>
  <c r="F82" i="4"/>
  <c r="D179" i="4"/>
  <c r="D78" i="4"/>
  <c r="M61" i="4"/>
  <c r="G149" i="4"/>
  <c r="L138" i="4"/>
  <c r="J137" i="4"/>
  <c r="L159" i="4"/>
  <c r="J158" i="4"/>
  <c r="M60" i="4"/>
  <c r="E60" i="4"/>
  <c r="N156" i="4"/>
  <c r="J85" i="4"/>
  <c r="J181" i="4"/>
  <c r="N179" i="4"/>
  <c r="M82" i="4"/>
  <c r="G179" i="4"/>
  <c r="K78" i="4"/>
  <c r="H149" i="4"/>
  <c r="K138" i="4"/>
  <c r="I137" i="4"/>
  <c r="K159" i="4"/>
  <c r="I158" i="4"/>
  <c r="L60" i="4"/>
  <c r="N60" i="4"/>
  <c r="I85" i="4"/>
  <c r="M83" i="4"/>
  <c r="M179" i="4"/>
  <c r="L82" i="4"/>
  <c r="M63" i="4"/>
  <c r="I63" i="4"/>
  <c r="N62" i="4"/>
  <c r="M62" i="4"/>
  <c r="N63" i="4"/>
  <c r="L63" i="4"/>
  <c r="K63" i="4"/>
  <c r="I62" i="4"/>
  <c r="J63" i="4"/>
  <c r="L62" i="4"/>
  <c r="K62" i="4"/>
  <c r="J62" i="4"/>
  <c r="D158" i="4"/>
  <c r="H158" i="4"/>
  <c r="G158" i="4"/>
  <c r="F137" i="4"/>
  <c r="H137" i="4"/>
  <c r="F158" i="4"/>
  <c r="E137" i="4"/>
  <c r="D137" i="4"/>
  <c r="E157" i="4"/>
  <c r="H181" i="4"/>
  <c r="E159" i="4"/>
  <c r="G41" i="4"/>
  <c r="G180" i="4"/>
  <c r="G181" i="4"/>
  <c r="E181" i="4"/>
  <c r="F181" i="4"/>
  <c r="F62" i="4"/>
  <c r="D157" i="4"/>
  <c r="E62" i="4"/>
  <c r="D84" i="4"/>
  <c r="G159" i="4"/>
  <c r="D180" i="4"/>
  <c r="G157" i="4"/>
  <c r="G62" i="4"/>
  <c r="G63" i="4"/>
  <c r="D159" i="4"/>
  <c r="H159" i="4"/>
  <c r="H157" i="4"/>
  <c r="F159" i="4"/>
  <c r="H180" i="4"/>
  <c r="H136" i="4"/>
  <c r="F138" i="4"/>
  <c r="E180" i="4"/>
  <c r="D136" i="4"/>
  <c r="G136" i="4"/>
  <c r="D138" i="4"/>
  <c r="H138" i="4"/>
  <c r="G138" i="4"/>
  <c r="F180" i="4"/>
  <c r="E138" i="4"/>
  <c r="D181" i="4"/>
  <c r="F136" i="4"/>
  <c r="D41" i="4"/>
  <c r="D62" i="4"/>
  <c r="H63" i="4"/>
  <c r="N41" i="4"/>
  <c r="F41" i="4"/>
  <c r="F63" i="4"/>
  <c r="D85" i="4"/>
  <c r="M41" i="4"/>
  <c r="E41" i="4"/>
  <c r="E63" i="4"/>
  <c r="D61" i="4"/>
  <c r="K41" i="4"/>
  <c r="F85" i="4"/>
  <c r="J41" i="4"/>
  <c r="G61" i="4"/>
  <c r="G83" i="4"/>
  <c r="J42" i="4"/>
  <c r="L41" i="4"/>
  <c r="D83" i="4"/>
  <c r="G85" i="4"/>
  <c r="I41" i="4"/>
  <c r="F61" i="4"/>
  <c r="D63" i="4"/>
  <c r="F83" i="4"/>
  <c r="E61" i="4"/>
  <c r="D40" i="4"/>
  <c r="I42" i="4"/>
  <c r="K40" i="4"/>
  <c r="F42" i="4"/>
  <c r="G40" i="4"/>
  <c r="L42" i="4"/>
  <c r="G84" i="4"/>
  <c r="L40" i="4"/>
  <c r="G42" i="4"/>
  <c r="M42" i="4"/>
  <c r="N40" i="4"/>
  <c r="F40" i="4"/>
  <c r="K42" i="4"/>
  <c r="F84" i="4"/>
  <c r="J40" i="4"/>
  <c r="D42" i="4"/>
  <c r="I40" i="4"/>
  <c r="N42" i="4"/>
  <c r="E42" i="4"/>
  <c r="E85" i="4"/>
  <c r="M40" i="4"/>
  <c r="E40" i="4"/>
  <c r="E126" i="4"/>
  <c r="F126" i="4"/>
  <c r="G126" i="4"/>
  <c r="H126" i="4"/>
  <c r="I126" i="4"/>
  <c r="J126" i="4"/>
  <c r="K126" i="4"/>
  <c r="L126" i="4"/>
  <c r="M126" i="4"/>
  <c r="N126" i="4"/>
  <c r="D126" i="4"/>
  <c r="E106" i="4"/>
  <c r="F106" i="4"/>
  <c r="G106" i="4"/>
  <c r="H106" i="4"/>
  <c r="I106" i="4"/>
  <c r="J106" i="4"/>
  <c r="K106" i="4"/>
  <c r="L106" i="4"/>
  <c r="M106" i="4"/>
  <c r="N106" i="4"/>
  <c r="D106" i="4"/>
  <c r="E130" i="4"/>
  <c r="F130" i="4"/>
  <c r="G130" i="4"/>
  <c r="H130" i="4"/>
  <c r="I130" i="4"/>
  <c r="J130" i="4"/>
  <c r="K130" i="4"/>
  <c r="L130" i="4"/>
  <c r="M130" i="4"/>
  <c r="N130" i="4"/>
  <c r="D130" i="4"/>
  <c r="E34" i="4"/>
  <c r="F34" i="4"/>
  <c r="G34" i="4"/>
  <c r="H34" i="4"/>
  <c r="I34" i="4"/>
  <c r="J34" i="4"/>
  <c r="K34" i="4"/>
  <c r="L34" i="4"/>
  <c r="M34" i="4"/>
  <c r="N34" i="4"/>
  <c r="D34" i="4"/>
  <c r="E30" i="4"/>
  <c r="F30" i="4"/>
  <c r="G30" i="4"/>
  <c r="H30" i="4"/>
  <c r="I30" i="4"/>
  <c r="J30" i="4"/>
  <c r="K30" i="4"/>
  <c r="L30" i="4"/>
  <c r="M30" i="4"/>
  <c r="N30" i="4"/>
  <c r="D30" i="4"/>
  <c r="D105" i="4"/>
  <c r="D116" i="4" s="1"/>
  <c r="E105" i="4"/>
  <c r="E116" i="4" s="1"/>
  <c r="F105" i="4"/>
  <c r="F116" i="4" s="1"/>
  <c r="G105" i="4"/>
  <c r="G116" i="4" s="1"/>
  <c r="H105" i="4"/>
  <c r="H116" i="4" s="1"/>
  <c r="I105" i="4"/>
  <c r="I116" i="4" s="1"/>
  <c r="J105" i="4"/>
  <c r="J116" i="4" s="1"/>
  <c r="K105" i="4"/>
  <c r="K116" i="4" s="1"/>
  <c r="L116" i="4"/>
  <c r="E183" i="4"/>
  <c r="F183" i="4"/>
  <c r="G183" i="4"/>
  <c r="H183" i="4"/>
  <c r="D104" i="4"/>
  <c r="L104" i="4"/>
  <c r="D15" i="4"/>
  <c r="D16" i="4"/>
  <c r="H174" i="4"/>
  <c r="I111" i="4"/>
  <c r="N116" i="4"/>
  <c r="M116" i="4"/>
  <c r="L20" i="4"/>
  <c r="M20" i="4"/>
  <c r="N20" i="4"/>
  <c r="J20" i="4"/>
  <c r="K9" i="4"/>
  <c r="K20" i="4" s="1"/>
  <c r="D35" i="4" l="1"/>
  <c r="D55" i="4" s="1"/>
  <c r="H88" i="4"/>
  <c r="D88" i="4"/>
  <c r="L112" i="4"/>
  <c r="E112" i="4"/>
  <c r="M112" i="4"/>
  <c r="F112" i="4"/>
  <c r="N112" i="4"/>
  <c r="G112" i="4"/>
  <c r="D112" i="4"/>
  <c r="H112" i="4"/>
  <c r="I112" i="4"/>
  <c r="J112" i="4"/>
  <c r="K112" i="4"/>
  <c r="J114" i="4"/>
  <c r="G113" i="4"/>
  <c r="D113" i="4"/>
  <c r="I114" i="4"/>
  <c r="N113" i="4"/>
  <c r="K114" i="4"/>
  <c r="H113" i="4"/>
  <c r="L114" i="4"/>
  <c r="I113" i="4"/>
  <c r="E114" i="4"/>
  <c r="M114" i="4"/>
  <c r="J113" i="4"/>
  <c r="F114" i="4"/>
  <c r="N114" i="4"/>
  <c r="K113" i="4"/>
  <c r="G114" i="4"/>
  <c r="D114" i="4"/>
  <c r="L113" i="4"/>
  <c r="H114" i="4"/>
  <c r="E113" i="4"/>
  <c r="M113" i="4"/>
  <c r="F113" i="4"/>
  <c r="J18" i="4"/>
  <c r="G17" i="4"/>
  <c r="D17" i="4"/>
  <c r="M17" i="4"/>
  <c r="F17" i="4"/>
  <c r="K18" i="4"/>
  <c r="H17" i="4"/>
  <c r="L18" i="4"/>
  <c r="I17" i="4"/>
  <c r="E18" i="4"/>
  <c r="M18" i="4"/>
  <c r="J17" i="4"/>
  <c r="F18" i="4"/>
  <c r="N18" i="4"/>
  <c r="K17" i="4"/>
  <c r="G18" i="4"/>
  <c r="D18" i="4"/>
  <c r="L17" i="4"/>
  <c r="E17" i="4"/>
  <c r="I18" i="4"/>
  <c r="N17" i="4"/>
  <c r="L131" i="4"/>
  <c r="H184" i="4"/>
  <c r="L16" i="4"/>
  <c r="N16" i="4"/>
  <c r="I16" i="4"/>
  <c r="J16" i="4"/>
  <c r="K16" i="4"/>
  <c r="E16" i="4"/>
  <c r="M16" i="4"/>
  <c r="F16" i="4"/>
  <c r="G16" i="4"/>
  <c r="L35" i="4"/>
  <c r="K131" i="4"/>
  <c r="K104" i="4"/>
  <c r="J104" i="4"/>
  <c r="L111" i="4"/>
  <c r="H111" i="4"/>
  <c r="N174" i="4"/>
  <c r="G174" i="4"/>
  <c r="G184" i="4" s="1"/>
  <c r="G185" i="4" s="1"/>
  <c r="G186" i="4" s="1"/>
  <c r="G187" i="4" s="1"/>
  <c r="F127" i="4"/>
  <c r="F174" i="4"/>
  <c r="F184" i="4" s="1"/>
  <c r="F185" i="4" s="1"/>
  <c r="E127" i="4"/>
  <c r="E53" i="4"/>
  <c r="K53" i="4"/>
  <c r="G111" i="4"/>
  <c r="J53" i="4"/>
  <c r="D127" i="4"/>
  <c r="L127" i="4"/>
  <c r="M174" i="4"/>
  <c r="E174" i="4"/>
  <c r="E184" i="4" s="1"/>
  <c r="E185" i="4" s="1"/>
  <c r="I104" i="4"/>
  <c r="D53" i="4"/>
  <c r="L53" i="4"/>
  <c r="K127" i="4"/>
  <c r="N127" i="4"/>
  <c r="L174" i="4"/>
  <c r="D174" i="4"/>
  <c r="D184" i="4" s="1"/>
  <c r="D185" i="4" s="1"/>
  <c r="H104" i="4"/>
  <c r="I53" i="4"/>
  <c r="N53" i="4"/>
  <c r="J127" i="4"/>
  <c r="M127" i="4"/>
  <c r="K174" i="4"/>
  <c r="G104" i="4"/>
  <c r="H53" i="4"/>
  <c r="M53" i="4"/>
  <c r="I127" i="4"/>
  <c r="J174" i="4"/>
  <c r="N104" i="4"/>
  <c r="F104" i="4"/>
  <c r="G53" i="4"/>
  <c r="H127" i="4"/>
  <c r="I174" i="4"/>
  <c r="M104" i="4"/>
  <c r="E104" i="4"/>
  <c r="D111" i="4"/>
  <c r="F53" i="4"/>
  <c r="G127" i="4"/>
  <c r="J131" i="4"/>
  <c r="J151" i="4" s="1"/>
  <c r="I131" i="4"/>
  <c r="I151" i="4" s="1"/>
  <c r="H131" i="4"/>
  <c r="H151" i="4" s="1"/>
  <c r="K35" i="4"/>
  <c r="G131" i="4"/>
  <c r="G151" i="4" s="1"/>
  <c r="N131" i="4"/>
  <c r="F131" i="4"/>
  <c r="F151" i="4" s="1"/>
  <c r="M131" i="4"/>
  <c r="M151" i="4" s="1"/>
  <c r="E131" i="4"/>
  <c r="E151" i="4" s="1"/>
  <c r="J35" i="4"/>
  <c r="J39" i="4" s="1"/>
  <c r="I35" i="4"/>
  <c r="N35" i="4"/>
  <c r="M35" i="4"/>
  <c r="N111" i="4"/>
  <c r="F111" i="4"/>
  <c r="M111" i="4"/>
  <c r="E111" i="4"/>
  <c r="K111" i="4"/>
  <c r="K15" i="4"/>
  <c r="N15" i="4"/>
  <c r="L15" i="4"/>
  <c r="M15" i="4"/>
  <c r="I10" i="4"/>
  <c r="I9" i="4"/>
  <c r="I20" i="4" s="1"/>
  <c r="E10" i="4"/>
  <c r="F10" i="4"/>
  <c r="G10" i="4"/>
  <c r="H10" i="4"/>
  <c r="E9" i="4"/>
  <c r="F9" i="4"/>
  <c r="G9" i="4"/>
  <c r="H9" i="4"/>
  <c r="H20" i="4" s="1"/>
  <c r="D9" i="4"/>
  <c r="D20" i="4" s="1"/>
  <c r="M31" i="4"/>
  <c r="N31" i="4"/>
  <c r="L31" i="4"/>
  <c r="E31" i="4"/>
  <c r="F31" i="4"/>
  <c r="G31" i="4"/>
  <c r="H31" i="4"/>
  <c r="I31" i="4"/>
  <c r="J31" i="4"/>
  <c r="K31" i="4"/>
  <c r="D31" i="4"/>
  <c r="M8" i="4"/>
  <c r="N8" i="4"/>
  <c r="L8" i="4"/>
  <c r="I8" i="4"/>
  <c r="J8" i="4"/>
  <c r="K8" i="4"/>
  <c r="I52" i="4" l="1"/>
  <c r="I39" i="4"/>
  <c r="H22" i="4"/>
  <c r="H23" i="4" s="1"/>
  <c r="H24" i="4" s="1"/>
  <c r="J44" i="4"/>
  <c r="D22" i="4"/>
  <c r="D23" i="4" s="1"/>
  <c r="D24" i="4" s="1"/>
  <c r="E186" i="4"/>
  <c r="E187" i="4" s="1"/>
  <c r="F186" i="4"/>
  <c r="F187" i="4" s="1"/>
  <c r="D118" i="4"/>
  <c r="D186" i="4"/>
  <c r="D187" i="4" s="1"/>
  <c r="E118" i="4"/>
  <c r="F118" i="4"/>
  <c r="F119" i="4" s="1"/>
  <c r="F120" i="4" s="1"/>
  <c r="G118" i="4"/>
  <c r="G119" i="4" s="1"/>
  <c r="G120" i="4" s="1"/>
  <c r="H185" i="4"/>
  <c r="D39" i="4"/>
  <c r="D76" i="4"/>
  <c r="D77" i="4" s="1"/>
  <c r="D131" i="4"/>
  <c r="I76" i="4"/>
  <c r="I77" i="4" s="1"/>
  <c r="I55" i="4"/>
  <c r="J76" i="4"/>
  <c r="J77" i="4" s="1"/>
  <c r="J55" i="4"/>
  <c r="D44" i="4"/>
  <c r="M55" i="4"/>
  <c r="M76" i="4"/>
  <c r="M77" i="4" s="1"/>
  <c r="N140" i="4"/>
  <c r="N172" i="4"/>
  <c r="N151" i="4"/>
  <c r="K55" i="4"/>
  <c r="K76" i="4"/>
  <c r="K77" i="4" s="1"/>
  <c r="I184" i="4"/>
  <c r="K140" i="4"/>
  <c r="K151" i="4"/>
  <c r="L55" i="4"/>
  <c r="L76" i="4"/>
  <c r="L77" i="4" s="1"/>
  <c r="N76" i="4"/>
  <c r="N77" i="4" s="1"/>
  <c r="N55" i="4"/>
  <c r="L140" i="4"/>
  <c r="L151" i="4"/>
  <c r="N184" i="4"/>
  <c r="K184" i="4"/>
  <c r="M184" i="4"/>
  <c r="L184" i="4"/>
  <c r="J184" i="4"/>
  <c r="N44" i="4"/>
  <c r="N52" i="4"/>
  <c r="D52" i="4"/>
  <c r="I44" i="4"/>
  <c r="H135" i="4"/>
  <c r="H172" i="4"/>
  <c r="H148" i="4"/>
  <c r="J135" i="4"/>
  <c r="J148" i="4"/>
  <c r="J161" i="4" s="1"/>
  <c r="J172" i="4"/>
  <c r="M172" i="4"/>
  <c r="M135" i="4"/>
  <c r="M148" i="4"/>
  <c r="I135" i="4"/>
  <c r="I172" i="4"/>
  <c r="I148" i="4"/>
  <c r="J140" i="4"/>
  <c r="J52" i="4"/>
  <c r="J65" i="4" s="1"/>
  <c r="F135" i="4"/>
  <c r="F141" i="4" s="1"/>
  <c r="F172" i="4"/>
  <c r="F148" i="4"/>
  <c r="F161" i="4" s="1"/>
  <c r="F162" i="4" s="1"/>
  <c r="F163" i="4" s="1"/>
  <c r="F164" i="4" s="1"/>
  <c r="K135" i="4"/>
  <c r="K148" i="4"/>
  <c r="K172" i="4"/>
  <c r="N135" i="4"/>
  <c r="N148" i="4"/>
  <c r="L39" i="4"/>
  <c r="L52" i="4"/>
  <c r="K44" i="4"/>
  <c r="K52" i="4"/>
  <c r="M44" i="4"/>
  <c r="M52" i="4"/>
  <c r="L148" i="4"/>
  <c r="L172" i="4"/>
  <c r="L135" i="4"/>
  <c r="I140" i="4"/>
  <c r="E140" i="4"/>
  <c r="E148" i="4"/>
  <c r="E161" i="4" s="1"/>
  <c r="E162" i="4" s="1"/>
  <c r="E163" i="4" s="1"/>
  <c r="E164" i="4" s="1"/>
  <c r="E172" i="4"/>
  <c r="M140" i="4"/>
  <c r="G135" i="4"/>
  <c r="G141" i="4" s="1"/>
  <c r="G142" i="4" s="1"/>
  <c r="G143" i="4" s="1"/>
  <c r="G172" i="4"/>
  <c r="G148" i="4"/>
  <c r="G161" i="4" s="1"/>
  <c r="G162" i="4" s="1"/>
  <c r="G163" i="4" s="1"/>
  <c r="G164" i="4" s="1"/>
  <c r="E135" i="4"/>
  <c r="E141" i="4" s="1"/>
  <c r="F140" i="4"/>
  <c r="G140" i="4"/>
  <c r="H140" i="4"/>
  <c r="M39" i="4"/>
  <c r="L44" i="4"/>
  <c r="K39" i="4"/>
  <c r="N39" i="4"/>
  <c r="J118" i="4"/>
  <c r="L118" i="4"/>
  <c r="L119" i="4" s="1"/>
  <c r="L120" i="4" s="1"/>
  <c r="N22" i="4"/>
  <c r="N23" i="4" s="1"/>
  <c r="N24" i="4" s="1"/>
  <c r="N14" i="4" s="1"/>
  <c r="K118" i="4"/>
  <c r="K119" i="4" s="1"/>
  <c r="K120" i="4" s="1"/>
  <c r="K110" i="4" s="1"/>
  <c r="N118" i="4"/>
  <c r="N119" i="4" s="1"/>
  <c r="N120" i="4" s="1"/>
  <c r="N110" i="4" s="1"/>
  <c r="J22" i="4"/>
  <c r="I22" i="4"/>
  <c r="I118" i="4"/>
  <c r="I119" i="4" s="1"/>
  <c r="I120" i="4" s="1"/>
  <c r="I110" i="4" s="1"/>
  <c r="M118" i="4"/>
  <c r="M119" i="4" s="1"/>
  <c r="M120" i="4" s="1"/>
  <c r="K22" i="4"/>
  <c r="K23" i="4" s="1"/>
  <c r="K24" i="4" s="1"/>
  <c r="K14" i="4" s="1"/>
  <c r="H118" i="4"/>
  <c r="H119" i="4" s="1"/>
  <c r="H120" i="4" s="1"/>
  <c r="H110" i="4" s="1"/>
  <c r="L22" i="4"/>
  <c r="L23" i="4" s="1"/>
  <c r="L24" i="4" s="1"/>
  <c r="L14" i="4" s="1"/>
  <c r="M22" i="4"/>
  <c r="M23" i="4" s="1"/>
  <c r="M24" i="4" s="1"/>
  <c r="M14" i="4" s="1"/>
  <c r="D45" i="4" l="1"/>
  <c r="D46" i="4" s="1"/>
  <c r="J23" i="4"/>
  <c r="J24" i="4" s="1"/>
  <c r="J14" i="4" s="1"/>
  <c r="D119" i="4"/>
  <c r="D120" i="4" s="1"/>
  <c r="F142" i="4"/>
  <c r="F143" i="4" s="1"/>
  <c r="E119" i="4"/>
  <c r="E120" i="4" s="1"/>
  <c r="I23" i="4"/>
  <c r="I24" i="4" s="1"/>
  <c r="I14" i="4" s="1"/>
  <c r="I25" i="4" s="1"/>
  <c r="I26" i="4" s="1" a="1"/>
  <c r="I26" i="4" s="1"/>
  <c r="E142" i="4"/>
  <c r="E143" i="4" s="1"/>
  <c r="J119" i="4"/>
  <c r="J120" i="4" s="1"/>
  <c r="J110" i="4" s="1"/>
  <c r="J121" i="4" s="1"/>
  <c r="J122" i="4" s="1" a="1"/>
  <c r="J122" i="4" s="1"/>
  <c r="K141" i="4"/>
  <c r="K142" i="4" s="1"/>
  <c r="K143" i="4" s="1"/>
  <c r="L45" i="4"/>
  <c r="L46" i="4" s="1"/>
  <c r="L47" i="4" s="1"/>
  <c r="L141" i="4"/>
  <c r="L142" i="4" s="1"/>
  <c r="L143" i="4" s="1"/>
  <c r="N141" i="4"/>
  <c r="N142" i="4" s="1"/>
  <c r="N143" i="4" s="1"/>
  <c r="D65" i="4"/>
  <c r="D66" i="4" s="1"/>
  <c r="D67" i="4" s="1"/>
  <c r="D68" i="4" s="1"/>
  <c r="M65" i="4"/>
  <c r="J45" i="4"/>
  <c r="J46" i="4" s="1"/>
  <c r="I65" i="4"/>
  <c r="D151" i="4"/>
  <c r="D135" i="4"/>
  <c r="D172" i="4"/>
  <c r="D148" i="4"/>
  <c r="D140" i="4"/>
  <c r="L161" i="4"/>
  <c r="L162" i="4" s="1"/>
  <c r="L163" i="4" s="1"/>
  <c r="L164" i="4" s="1"/>
  <c r="M161" i="4"/>
  <c r="M162" i="4" s="1"/>
  <c r="M163" i="4" s="1"/>
  <c r="M164" i="4" s="1"/>
  <c r="K65" i="4"/>
  <c r="J162" i="4"/>
  <c r="J163" i="4" s="1"/>
  <c r="J164" i="4" s="1"/>
  <c r="N65" i="4"/>
  <c r="L65" i="4"/>
  <c r="H141" i="4"/>
  <c r="H142" i="4" s="1"/>
  <c r="I161" i="4"/>
  <c r="I162" i="4" s="1"/>
  <c r="I163" i="4" s="1"/>
  <c r="I164" i="4" s="1"/>
  <c r="I45" i="4"/>
  <c r="I46" i="4" s="1"/>
  <c r="I47" i="4" s="1"/>
  <c r="K161" i="4"/>
  <c r="K162" i="4" s="1"/>
  <c r="K163" i="4" s="1"/>
  <c r="K164" i="4" s="1"/>
  <c r="H161" i="4"/>
  <c r="H162" i="4" s="1"/>
  <c r="H163" i="4" s="1"/>
  <c r="H164" i="4" s="1"/>
  <c r="M45" i="4"/>
  <c r="M46" i="4" s="1"/>
  <c r="M47" i="4" s="1"/>
  <c r="N161" i="4"/>
  <c r="N162" i="4" s="1"/>
  <c r="N163" i="4" s="1"/>
  <c r="N164" i="4" s="1"/>
  <c r="J141" i="4"/>
  <c r="J142" i="4" s="1"/>
  <c r="J143" i="4" s="1"/>
  <c r="N45" i="4"/>
  <c r="N46" i="4" s="1"/>
  <c r="N47" i="4" s="1"/>
  <c r="I141" i="4"/>
  <c r="I142" i="4" s="1"/>
  <c r="I143" i="4" s="1"/>
  <c r="I185" i="4"/>
  <c r="M185" i="4"/>
  <c r="L185" i="4"/>
  <c r="J185" i="4"/>
  <c r="K185" i="4"/>
  <c r="N185" i="4"/>
  <c r="H186" i="4"/>
  <c r="H187" i="4" s="1"/>
  <c r="H177" i="4" s="1"/>
  <c r="M141" i="4"/>
  <c r="M142" i="4" s="1"/>
  <c r="M143" i="4" s="1"/>
  <c r="K45" i="4"/>
  <c r="K46" i="4" s="1"/>
  <c r="K47" i="4" s="1"/>
  <c r="M110" i="4"/>
  <c r="M121" i="4" s="1"/>
  <c r="M122" i="4" s="1" a="1"/>
  <c r="M122" i="4" s="1"/>
  <c r="L110" i="4"/>
  <c r="L121" i="4" s="1"/>
  <c r="L122" i="4" s="1" a="1"/>
  <c r="L122" i="4" s="1"/>
  <c r="N121" i="4"/>
  <c r="N122" i="4" s="1" a="1"/>
  <c r="N122" i="4" s="1"/>
  <c r="C223" i="5" s="1"/>
  <c r="I121" i="4"/>
  <c r="I122" i="4" s="1" a="1"/>
  <c r="I122" i="4" s="1"/>
  <c r="C207" i="5" s="1"/>
  <c r="K121" i="4"/>
  <c r="K122" i="4" s="1" a="1"/>
  <c r="K122" i="4" s="1"/>
  <c r="H121" i="4"/>
  <c r="H122" i="4" s="1"/>
  <c r="E87" i="4"/>
  <c r="F87" i="4"/>
  <c r="G87" i="4"/>
  <c r="D87" i="4"/>
  <c r="D89" i="4" s="1"/>
  <c r="D90" i="4" s="1"/>
  <c r="D91" i="4" s="1"/>
  <c r="D47" i="4" l="1"/>
  <c r="D141" i="4"/>
  <c r="D142" i="4" s="1"/>
  <c r="D143" i="4" s="1"/>
  <c r="C199" i="5"/>
  <c r="I134" i="4"/>
  <c r="I144" i="4" s="1" a="1"/>
  <c r="I144" i="4" s="1"/>
  <c r="C208" i="5" s="1"/>
  <c r="J134" i="4"/>
  <c r="J144" i="4" s="1" a="1"/>
  <c r="J144" i="4" s="1"/>
  <c r="N134" i="4"/>
  <c r="N144" i="4" s="1" a="1"/>
  <c r="N144" i="4" s="1"/>
  <c r="C224" i="5" s="1"/>
  <c r="M134" i="4"/>
  <c r="M144" i="4" s="1" a="1"/>
  <c r="M144" i="4" s="1"/>
  <c r="L134" i="4"/>
  <c r="L144" i="4" s="1" a="1"/>
  <c r="L144" i="4" s="1"/>
  <c r="M155" i="4"/>
  <c r="M165" i="4" s="1" a="1"/>
  <c r="M165" i="4" s="1"/>
  <c r="K134" i="4"/>
  <c r="K144" i="4" s="1" a="1"/>
  <c r="K144" i="4" s="1"/>
  <c r="K38" i="4"/>
  <c r="K48" i="4" s="1" a="1"/>
  <c r="K48" i="4" s="1"/>
  <c r="I38" i="4"/>
  <c r="I48" i="4" s="1" a="1"/>
  <c r="I48" i="4" s="1"/>
  <c r="C200" i="5" s="1"/>
  <c r="N38" i="4"/>
  <c r="N48" i="4" s="1" a="1"/>
  <c r="N48" i="4" s="1"/>
  <c r="C216" i="5" s="1"/>
  <c r="M38" i="4"/>
  <c r="M48" i="4" s="1" a="1"/>
  <c r="M48" i="4" s="1"/>
  <c r="L38" i="4"/>
  <c r="L48" i="4" s="1" a="1"/>
  <c r="L48" i="4" s="1"/>
  <c r="J155" i="4"/>
  <c r="J165" i="4" s="1" a="1"/>
  <c r="J165" i="4" s="1"/>
  <c r="D161" i="4"/>
  <c r="D162" i="4" s="1"/>
  <c r="D163" i="4" s="1"/>
  <c r="D164" i="4" s="1"/>
  <c r="J47" i="4"/>
  <c r="L155" i="4"/>
  <c r="L165" i="4" s="1" a="1"/>
  <c r="L165" i="4" s="1"/>
  <c r="I155" i="4"/>
  <c r="I165" i="4" s="1" a="1"/>
  <c r="I165" i="4" s="1"/>
  <c r="C209" i="5" s="1"/>
  <c r="N155" i="4"/>
  <c r="N165" i="4" s="1" a="1"/>
  <c r="N165" i="4" s="1"/>
  <c r="C225" i="5" s="1"/>
  <c r="E155" i="4"/>
  <c r="E165" i="4" s="1"/>
  <c r="F155" i="4"/>
  <c r="F165" i="4" s="1"/>
  <c r="D155" i="4"/>
  <c r="H155" i="4"/>
  <c r="G155" i="4"/>
  <c r="G165" i="4" s="1"/>
  <c r="K155" i="4"/>
  <c r="K165" i="4" s="1" a="1"/>
  <c r="K165" i="4" s="1"/>
  <c r="L186" i="4"/>
  <c r="L187" i="4" s="1"/>
  <c r="L177" i="4" s="1"/>
  <c r="M186" i="4"/>
  <c r="M187" i="4" s="1"/>
  <c r="M177" i="4" s="1"/>
  <c r="I186" i="4"/>
  <c r="I187" i="4" s="1"/>
  <c r="I177" i="4" s="1"/>
  <c r="N186" i="4"/>
  <c r="N187" i="4" s="1"/>
  <c r="N177" i="4" s="1"/>
  <c r="H143" i="4"/>
  <c r="K186" i="4"/>
  <c r="K187" i="4" s="1"/>
  <c r="K177" i="4" s="1"/>
  <c r="J186" i="4"/>
  <c r="J187" i="4" s="1"/>
  <c r="J177" i="4" s="1"/>
  <c r="E88" i="4"/>
  <c r="E89" i="4" s="1"/>
  <c r="M88" i="4"/>
  <c r="F88" i="4"/>
  <c r="F89" i="4" s="1"/>
  <c r="F90" i="4" s="1"/>
  <c r="F91" i="4" s="1"/>
  <c r="N88" i="4"/>
  <c r="G88" i="4"/>
  <c r="G89" i="4" s="1"/>
  <c r="L88" i="4"/>
  <c r="J88" i="4"/>
  <c r="K88" i="4"/>
  <c r="E35" i="4"/>
  <c r="F35" i="4"/>
  <c r="G35" i="4"/>
  <c r="H35" i="4"/>
  <c r="D165" i="4" l="1"/>
  <c r="H39" i="4"/>
  <c r="H44" i="4"/>
  <c r="G90" i="4"/>
  <c r="G91" i="4" s="1"/>
  <c r="E90" i="4"/>
  <c r="E91" i="4" s="1"/>
  <c r="J38" i="4"/>
  <c r="J48" i="4" s="1" a="1"/>
  <c r="J48" i="4" s="1"/>
  <c r="F55" i="4"/>
  <c r="F76" i="4"/>
  <c r="F77" i="4" s="1"/>
  <c r="E55" i="4"/>
  <c r="E76" i="4"/>
  <c r="E77" i="4" s="1"/>
  <c r="H76" i="4"/>
  <c r="H77" i="4" s="1"/>
  <c r="H55" i="4"/>
  <c r="G55" i="4"/>
  <c r="G76" i="4"/>
  <c r="G77" i="4" s="1"/>
  <c r="E52" i="4"/>
  <c r="H52" i="4"/>
  <c r="H65" i="4" s="1"/>
  <c r="G52" i="4"/>
  <c r="F52" i="4"/>
  <c r="H134" i="4"/>
  <c r="G39" i="4"/>
  <c r="G44" i="4"/>
  <c r="F39" i="4"/>
  <c r="F44" i="4"/>
  <c r="E39" i="4"/>
  <c r="E44" i="4"/>
  <c r="E20" i="4"/>
  <c r="F20" i="4"/>
  <c r="G20" i="4"/>
  <c r="E45" i="4" l="1"/>
  <c r="E46" i="4" s="1"/>
  <c r="E47" i="4" s="1"/>
  <c r="F45" i="4"/>
  <c r="F46" i="4" s="1"/>
  <c r="F47" i="4" s="1"/>
  <c r="G45" i="4"/>
  <c r="G46" i="4" s="1"/>
  <c r="G47" i="4" s="1"/>
  <c r="E65" i="4"/>
  <c r="E66" i="4" s="1"/>
  <c r="E67" i="4" s="1"/>
  <c r="E68" i="4" s="1"/>
  <c r="F65" i="4"/>
  <c r="F66" i="4" s="1"/>
  <c r="F67" i="4" s="1"/>
  <c r="F68" i="4" s="1"/>
  <c r="G65" i="4"/>
  <c r="G66" i="4" s="1"/>
  <c r="G67" i="4" s="1"/>
  <c r="G68" i="4" s="1"/>
  <c r="G8" i="4"/>
  <c r="F8" i="4"/>
  <c r="E8" i="4"/>
  <c r="D8" i="4"/>
  <c r="H8" i="4"/>
  <c r="H14" i="4" s="1"/>
  <c r="H25" i="4" s="1"/>
  <c r="H26" i="4" s="1"/>
  <c r="E15" i="4"/>
  <c r="E22" i="4" s="1"/>
  <c r="E23" i="4" s="1"/>
  <c r="E24" i="4" s="1"/>
  <c r="F15" i="4"/>
  <c r="F22" i="4" s="1"/>
  <c r="F23" i="4" s="1"/>
  <c r="F24" i="4" s="1"/>
  <c r="G15" i="4"/>
  <c r="G22" i="4" s="1"/>
  <c r="G23" i="4" l="1"/>
  <c r="G24" i="4" s="1"/>
  <c r="D14" i="4"/>
  <c r="D25" i="4" s="1"/>
  <c r="D26" i="4" s="1"/>
  <c r="D110" i="4" l="1"/>
  <c r="D121" i="4" s="1"/>
  <c r="D122" i="4" s="1"/>
  <c r="E110" i="4"/>
  <c r="E121" i="4" s="1"/>
  <c r="E122" i="4" s="1"/>
  <c r="F110" i="4"/>
  <c r="F121" i="4" s="1"/>
  <c r="F122" i="4" s="1"/>
  <c r="G110" i="4"/>
  <c r="G121" i="4" s="1"/>
  <c r="G122" i="4" s="1"/>
  <c r="L25" i="4"/>
  <c r="L26" i="4" s="1" a="1"/>
  <c r="L26" i="4" s="1"/>
  <c r="M25" i="4"/>
  <c r="M26" i="4" s="1" a="1"/>
  <c r="M26" i="4" s="1"/>
  <c r="N25" i="4"/>
  <c r="N26" i="4" s="1" a="1"/>
  <c r="N26" i="4" s="1"/>
  <c r="C215" i="5" s="1"/>
  <c r="J25" i="4"/>
  <c r="J26" i="4" s="1" a="1"/>
  <c r="J26" i="4" s="1"/>
  <c r="K25" i="4"/>
  <c r="K26" i="4" s="1" a="1"/>
  <c r="K26" i="4" s="1"/>
  <c r="G14" i="4"/>
  <c r="G25" i="4" s="1"/>
  <c r="G26" i="4" s="1"/>
  <c r="F14" i="4"/>
  <c r="F25" i="4" s="1"/>
  <c r="F26" i="4" s="1"/>
  <c r="E14" i="4"/>
  <c r="E25" i="4" s="1"/>
  <c r="E26" i="4" s="1"/>
  <c r="H66" i="4" l="1"/>
  <c r="H45" i="4"/>
  <c r="H67" i="4" l="1"/>
  <c r="H68" i="4" l="1"/>
  <c r="H46" i="4"/>
  <c r="H47" i="4" s="1"/>
  <c r="D38" i="4" s="1"/>
  <c r="H38" i="4" l="1"/>
  <c r="H48" i="4" s="1"/>
  <c r="D59" i="4"/>
  <c r="D69" i="4" s="1"/>
  <c r="H59" i="4"/>
  <c r="H69" i="4" s="1"/>
  <c r="G134" i="4"/>
  <c r="G144" i="4" s="1"/>
  <c r="F134" i="4"/>
  <c r="F144" i="4" s="1"/>
  <c r="D134" i="4"/>
  <c r="D144" i="4" s="1"/>
  <c r="E134" i="4"/>
  <c r="E144" i="4" s="1"/>
  <c r="H165" i="4"/>
  <c r="D48" i="4"/>
  <c r="E59" i="4"/>
  <c r="E69" i="4" s="1"/>
  <c r="F59" i="4"/>
  <c r="F69" i="4" s="1"/>
  <c r="G59" i="4"/>
  <c r="G69" i="4" s="1"/>
  <c r="E38" i="4"/>
  <c r="E48" i="4" s="1"/>
  <c r="F38" i="4"/>
  <c r="F48" i="4" s="1"/>
  <c r="G38" i="4"/>
  <c r="G48" i="4" s="1"/>
  <c r="N66" i="4" l="1"/>
  <c r="N67" i="4" s="1"/>
  <c r="N68" i="4" s="1"/>
  <c r="M66" i="4"/>
  <c r="M67" i="4" s="1"/>
  <c r="M68" i="4" s="1"/>
  <c r="L66" i="4"/>
  <c r="L67" i="4" s="1"/>
  <c r="L68" i="4" s="1"/>
  <c r="K66" i="4"/>
  <c r="K67" i="4" s="1"/>
  <c r="K68" i="4" s="1"/>
  <c r="J66" i="4"/>
  <c r="J67" i="4" s="1"/>
  <c r="J68" i="4" s="1"/>
  <c r="J59" i="4" s="1"/>
  <c r="H89" i="4"/>
  <c r="I66" i="4"/>
  <c r="I67" i="4" s="1"/>
  <c r="I68" i="4" s="1"/>
  <c r="K59" i="4" l="1"/>
  <c r="K69" i="4" s="1" a="1"/>
  <c r="K69" i="4" s="1"/>
  <c r="L59" i="4"/>
  <c r="L69" i="4" s="1" a="1"/>
  <c r="L69" i="4" s="1"/>
  <c r="M59" i="4"/>
  <c r="M69" i="4" s="1" a="1"/>
  <c r="M69" i="4" s="1"/>
  <c r="I59" i="4"/>
  <c r="I69" i="4" s="1" a="1"/>
  <c r="I69" i="4" s="1"/>
  <c r="J69" i="4" a="1"/>
  <c r="J69" i="4" s="1"/>
  <c r="N59" i="4"/>
  <c r="N69" i="4" s="1" a="1"/>
  <c r="N69" i="4" s="1"/>
  <c r="C217" i="5" s="1"/>
  <c r="J89" i="4"/>
  <c r="J90" i="4" s="1"/>
  <c r="J91" i="4" s="1"/>
  <c r="N89" i="4"/>
  <c r="K89" i="4"/>
  <c r="K90" i="4" s="1"/>
  <c r="K91" i="4" s="1"/>
  <c r="M89" i="4"/>
  <c r="M90" i="4" s="1"/>
  <c r="M91" i="4" s="1"/>
  <c r="M81" i="4" s="1"/>
  <c r="M92" i="4" s="1"/>
  <c r="L89" i="4"/>
  <c r="L90" i="4" s="1"/>
  <c r="L91" i="4" s="1"/>
  <c r="H90" i="4"/>
  <c r="H91" i="4" s="1"/>
  <c r="H144" i="4"/>
  <c r="J81" i="4" l="1"/>
  <c r="J92" i="4" s="1"/>
  <c r="J95" i="4" s="1"/>
  <c r="C201" i="5"/>
  <c r="D81" i="4"/>
  <c r="D92" i="4" s="1"/>
  <c r="H81" i="4"/>
  <c r="H92" i="4" s="1"/>
  <c r="H96" i="4" s="1"/>
  <c r="M95" i="4"/>
  <c r="M96" i="4"/>
  <c r="I188" i="4"/>
  <c r="J188" i="4"/>
  <c r="K188" i="4"/>
  <c r="L188" i="4"/>
  <c r="M188" i="4"/>
  <c r="N188" i="4"/>
  <c r="C226" i="5" s="1"/>
  <c r="C227" i="5" s="1"/>
  <c r="E81" i="4"/>
  <c r="E92" i="4" s="1"/>
  <c r="F81" i="4"/>
  <c r="F92" i="4" s="1"/>
  <c r="L81" i="4"/>
  <c r="L92" i="4" s="1"/>
  <c r="N90" i="4"/>
  <c r="N91" i="4" s="1"/>
  <c r="N81" i="4" s="1"/>
  <c r="N92" i="4" s="1"/>
  <c r="C218" i="5" s="1"/>
  <c r="C219" i="5" s="1"/>
  <c r="I89" i="4"/>
  <c r="F177" i="4"/>
  <c r="F188" i="4" s="1"/>
  <c r="D177" i="4"/>
  <c r="D188" i="4" s="1"/>
  <c r="H188" i="4"/>
  <c r="H192" i="4" s="1"/>
  <c r="G81" i="4"/>
  <c r="G92" i="4" s="1"/>
  <c r="G177" i="4"/>
  <c r="G188" i="4" s="1"/>
  <c r="E177" i="4"/>
  <c r="E188" i="4" s="1"/>
  <c r="K81" i="4"/>
  <c r="K92" i="4" s="1"/>
  <c r="J96" i="4" l="1"/>
  <c r="E191" i="4"/>
  <c r="E192" i="4"/>
  <c r="D191" i="4"/>
  <c r="D192" i="4"/>
  <c r="G191" i="4"/>
  <c r="G192" i="4"/>
  <c r="G95" i="4"/>
  <c r="G96" i="4"/>
  <c r="F191" i="4"/>
  <c r="F192" i="4"/>
  <c r="F95" i="4"/>
  <c r="F96" i="4"/>
  <c r="E95" i="4"/>
  <c r="E96" i="4"/>
  <c r="D95" i="4"/>
  <c r="D96" i="4"/>
  <c r="H191" i="4"/>
  <c r="I192" i="4"/>
  <c r="C210" i="5"/>
  <c r="C211" i="5" s="1"/>
  <c r="K95" i="4"/>
  <c r="K96" i="4"/>
  <c r="K191" i="4"/>
  <c r="K192" i="4"/>
  <c r="I191" i="4"/>
  <c r="H95" i="4"/>
  <c r="N95" i="4"/>
  <c r="N96" i="4"/>
  <c r="L96" i="4"/>
  <c r="L95" i="4"/>
  <c r="J191" i="4"/>
  <c r="J192" i="4"/>
  <c r="N191" i="4"/>
  <c r="N192" i="4"/>
  <c r="M192" i="4"/>
  <c r="M191" i="4"/>
  <c r="L192" i="4"/>
  <c r="L191" i="4"/>
  <c r="I90" i="4"/>
  <c r="I91" i="4" s="1"/>
  <c r="I81" i="4" s="1"/>
  <c r="I92" i="4" s="1"/>
  <c r="C202" i="5" l="1"/>
  <c r="C203" i="5" s="1"/>
  <c r="I96" i="4"/>
  <c r="I95"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<sst xmlns="http://schemas.openxmlformats.org/spreadsheetml/2006/main" count="836" uniqueCount="168">
  <si>
    <r>
      <rPr>
        <b/>
        <u/>
        <sz val="11"/>
        <color rgb="FF000000"/>
        <rFont val="Aptos Narrow"/>
        <family val="2"/>
        <scheme val="minor"/>
      </rPr>
      <t>How to Navigate</t>
    </r>
    <r>
      <rPr>
        <sz val="11"/>
        <color rgb="FF000000"/>
        <rFont val="Aptos Narrow"/>
        <family val="2"/>
        <scheme val="minor"/>
      </rPr>
      <t xml:space="preserve">
The model requires the user to follow specific steps to configure specific data in the tab "Inputs". Each selection will impact the model output based on the chosen manufacturing and supply chain scenarios. 
</t>
    </r>
    <r>
      <rPr>
        <b/>
        <sz val="11"/>
        <color rgb="FF000000"/>
        <rFont val="Aptos Narrow"/>
        <family val="2"/>
        <scheme val="minor"/>
      </rPr>
      <t>Step 1: Select Country of Manufacturing</t>
    </r>
    <r>
      <rPr>
        <sz val="11"/>
        <color rgb="FF000000"/>
        <rFont val="Aptos Narrow"/>
        <family val="2"/>
        <scheme val="minor"/>
      </rPr>
      <t xml:space="preserve">
The user should choose the country where the final module assembly is manufactured. 
</t>
    </r>
    <r>
      <rPr>
        <b/>
        <sz val="11"/>
        <color rgb="FF000000"/>
        <rFont val="Aptos Narrow"/>
        <family val="2"/>
        <scheme val="minor"/>
      </rPr>
      <t>Step 2: Define Component Sources</t>
    </r>
    <r>
      <rPr>
        <sz val="11"/>
        <color rgb="FF000000"/>
        <rFont val="Aptos Narrow"/>
        <family val="2"/>
        <scheme val="minor"/>
      </rPr>
      <t xml:space="preserve">
The user should specify the source of each component in the solar module supply chain for two different module technologies: TOPCon and Monocrystalline.
-	Domestic: the component is sourced within the manufacturing country
-	Imported: the component is sourced by another market. User can select China or Vietnam.
</t>
    </r>
    <r>
      <rPr>
        <b/>
        <sz val="11"/>
        <color rgb="FF000000"/>
        <rFont val="Aptos Narrow"/>
        <family val="2"/>
        <scheme val="minor"/>
      </rPr>
      <t xml:space="preserve">
Step 3: Results
</t>
    </r>
    <r>
      <rPr>
        <sz val="11"/>
        <color rgb="FF000000"/>
        <rFont val="Aptos Narrow"/>
        <family val="2"/>
        <scheme val="minor"/>
      </rPr>
      <t xml:space="preserve">Once all inputs are selected, proceed to Tab “Output_Visualization” to view the results based on the user configured supply chain and manufacturing setup.
</t>
    </r>
    <r>
      <rPr>
        <b/>
        <sz val="11"/>
        <color rgb="FF000000"/>
        <rFont val="Aptos Narrow"/>
        <family val="2"/>
        <scheme val="minor"/>
      </rPr>
      <t>Tabs description</t>
    </r>
    <r>
      <rPr>
        <sz val="11"/>
        <color rgb="FF000000"/>
        <rFont val="Aptos Narrow"/>
        <family val="2"/>
        <scheme val="minor"/>
      </rPr>
      <t xml:space="preserve">
Inputs tab is where the user defines the scenario and enter the data
Output_Vizualization tab presents key results using charts and graphs
Cost Model_Calculations is a dedicated tab that automatically performs and updates calculations pulling data from the Input sheet to generate the results. 
This tab is locked for editing.
Assumptions tab contains values and parameters that drive the calculations. 
This tab is locked for editing.
Country_Index tab contains  country specific data used as default values in the calculations.
This tab is locked for editing.</t>
    </r>
  </si>
  <si>
    <t xml:space="preserve">MODEL INPUTS </t>
  </si>
  <si>
    <t>Select Country:</t>
  </si>
  <si>
    <t>Vietnam</t>
  </si>
  <si>
    <t>Technology Type:</t>
  </si>
  <si>
    <t>TOPCon</t>
  </si>
  <si>
    <t>Key Inputs - Polysilicon</t>
  </si>
  <si>
    <t>Select source of Polysilicon supply</t>
  </si>
  <si>
    <t>China</t>
  </si>
  <si>
    <t>Parameter</t>
  </si>
  <si>
    <t>Unit</t>
  </si>
  <si>
    <t>Default Value</t>
  </si>
  <si>
    <t>User Input</t>
  </si>
  <si>
    <t>Final Value</t>
  </si>
  <si>
    <t>Installed Capacity in 2025</t>
  </si>
  <si>
    <t>kg</t>
  </si>
  <si>
    <t>Projected Installed Capacity through 2030</t>
  </si>
  <si>
    <t>Electricity Price</t>
  </si>
  <si>
    <t>USD/kWh</t>
  </si>
  <si>
    <t>Average Engineer Salary</t>
  </si>
  <si>
    <t>USD/year</t>
  </si>
  <si>
    <t>Equipment Costs</t>
  </si>
  <si>
    <t>USD/kg</t>
  </si>
  <si>
    <t>Total Building &amp; Facilities Costs</t>
  </si>
  <si>
    <t>Key Inputs - Wafer/Cell/Module</t>
  </si>
  <si>
    <t>Select Source of Wafer Supply</t>
  </si>
  <si>
    <t>Select Source of Solar Cell Supply</t>
  </si>
  <si>
    <t>Wp</t>
  </si>
  <si>
    <t>Equipment Costs for Wafer</t>
  </si>
  <si>
    <t>USD/kW</t>
  </si>
  <si>
    <t>Equipment Costs for Cell</t>
  </si>
  <si>
    <t>Equipment Costs for Module</t>
  </si>
  <si>
    <t>Total Building &amp; Facilities Costs for Wafer manufacturing</t>
  </si>
  <si>
    <t>USD/kWp</t>
  </si>
  <si>
    <t>Total Building &amp; Facilities Costs for Cell manufacturing</t>
  </si>
  <si>
    <t>Total Building &amp; Facilities Costs for Module manufacturing</t>
  </si>
  <si>
    <t>Monocrystalline</t>
  </si>
  <si>
    <t>Domestic</t>
  </si>
  <si>
    <t>OUTPUT/VISUALIZATION</t>
  </si>
  <si>
    <t>Waterfall Chart Table 2025 - TOPCon</t>
  </si>
  <si>
    <t>Category</t>
  </si>
  <si>
    <t>Value (USD/Wp)</t>
  </si>
  <si>
    <t>Type</t>
  </si>
  <si>
    <t>Polysilicon</t>
  </si>
  <si>
    <t>Increase</t>
  </si>
  <si>
    <t>Wafer</t>
  </si>
  <si>
    <t>Cell</t>
  </si>
  <si>
    <t>Module</t>
  </si>
  <si>
    <t>Total Module Cost (with ESG)</t>
  </si>
  <si>
    <t>Total</t>
  </si>
  <si>
    <t>Waterfall Chart Table 2025 - Monocrystalline</t>
  </si>
  <si>
    <t>Waterfall Chart Table 2030 - TOPCon</t>
  </si>
  <si>
    <t>Waterfall Chart Table 2030 - Monocrystalline</t>
  </si>
  <si>
    <t xml:space="preserve">CALCULATIONS </t>
  </si>
  <si>
    <t>Inputs for Polysilicon Costs Variation</t>
  </si>
  <si>
    <t>Electricity consumption</t>
  </si>
  <si>
    <t>kWh/kg</t>
  </si>
  <si>
    <t>Metal silicon price in China</t>
  </si>
  <si>
    <t>Installed Capacity</t>
  </si>
  <si>
    <t>Conversion Ratio Silicon to Polysilicon</t>
  </si>
  <si>
    <t>%</t>
  </si>
  <si>
    <t>Conversion from Poly to W</t>
  </si>
  <si>
    <t>g/W</t>
  </si>
  <si>
    <t>Other material</t>
  </si>
  <si>
    <t>Polysilicon Costs Calculation</t>
  </si>
  <si>
    <t>Overheads</t>
  </si>
  <si>
    <t>Electricity</t>
  </si>
  <si>
    <t>Building and facilities</t>
  </si>
  <si>
    <t>Equipment depreciation</t>
  </si>
  <si>
    <t>Maintenance</t>
  </si>
  <si>
    <t>Labour</t>
  </si>
  <si>
    <t>Materials</t>
  </si>
  <si>
    <t>Total costs</t>
  </si>
  <si>
    <t>Operating profit</t>
  </si>
  <si>
    <t>Final price</t>
  </si>
  <si>
    <t>Final price with overheads</t>
  </si>
  <si>
    <t>USD/Wp</t>
  </si>
  <si>
    <t xml:space="preserve"> </t>
  </si>
  <si>
    <t>Ingots and Wafer Costs</t>
  </si>
  <si>
    <t>kWh/Wafer</t>
  </si>
  <si>
    <t>USD/ wafer</t>
  </si>
  <si>
    <t>Wafer area</t>
  </si>
  <si>
    <t>m2</t>
  </si>
  <si>
    <t>Solar cell efficiency</t>
  </si>
  <si>
    <t>Irradiance</t>
  </si>
  <si>
    <t>W/m2</t>
  </si>
  <si>
    <t>Power production of 1 wafer</t>
  </si>
  <si>
    <t>Final costs</t>
  </si>
  <si>
    <t>Final Price</t>
  </si>
  <si>
    <t>Cell Costs</t>
  </si>
  <si>
    <t>kWh/W</t>
  </si>
  <si>
    <t>Silver consumption</t>
  </si>
  <si>
    <t>kg/Wp</t>
  </si>
  <si>
    <t>Silver Price</t>
  </si>
  <si>
    <t>Other material including silver</t>
  </si>
  <si>
    <t>Module Costs</t>
  </si>
  <si>
    <t>kWh/module</t>
  </si>
  <si>
    <t>Cell Count</t>
  </si>
  <si>
    <t>cells/module</t>
  </si>
  <si>
    <t>Cell Size</t>
  </si>
  <si>
    <t>cm2</t>
  </si>
  <si>
    <t>Cell Efficiency</t>
  </si>
  <si>
    <t>Cell Power</t>
  </si>
  <si>
    <t>Watts per cell</t>
  </si>
  <si>
    <t>Module Power Rating</t>
  </si>
  <si>
    <t>Watts per Module</t>
  </si>
  <si>
    <t>ESG Certification</t>
  </si>
  <si>
    <t>Model Output</t>
  </si>
  <si>
    <t>Total Module Cost without ESG</t>
  </si>
  <si>
    <t>Total Module Cost with ESG</t>
  </si>
  <si>
    <t>Monocrystalline - p-mono PERC</t>
  </si>
  <si>
    <t>Convert to m2</t>
  </si>
  <si>
    <t>Other material including Silver</t>
  </si>
  <si>
    <t>Cell (wafer) area</t>
  </si>
  <si>
    <t>ASSUMPTIONS</t>
  </si>
  <si>
    <t>Key Assumptions for Polysilicon</t>
  </si>
  <si>
    <t xml:space="preserve">Parameters </t>
  </si>
  <si>
    <t xml:space="preserve">Monocrystalline </t>
  </si>
  <si>
    <t>Year</t>
  </si>
  <si>
    <t>Source</t>
  </si>
  <si>
    <t>Comments</t>
  </si>
  <si>
    <t>Article : pv magazine International</t>
  </si>
  <si>
    <t>Equipment Lifetime</t>
  </si>
  <si>
    <t>years</t>
  </si>
  <si>
    <t>NREL</t>
  </si>
  <si>
    <t xml:space="preserve">Lifetime for building and facilities </t>
  </si>
  <si>
    <t>% of CAPEX</t>
  </si>
  <si>
    <t>Labor required</t>
  </si>
  <si>
    <t>number of worker per kg</t>
  </si>
  <si>
    <t>IRENA calculations</t>
  </si>
  <si>
    <t>Average between NREL and Australian assumptions</t>
  </si>
  <si>
    <t>Materials (Silicon metal)</t>
  </si>
  <si>
    <t>Conversion rate for polysilicon material</t>
  </si>
  <si>
    <t>Conversion rate from g/W</t>
  </si>
  <si>
    <t>Article : Solar panel production</t>
  </si>
  <si>
    <t>Higher efficiency of TOPcon means each gram of silicon produces more watts</t>
  </si>
  <si>
    <t>Article : Metal Silicon price</t>
  </si>
  <si>
    <t>Average price for 2024 for silicon from China</t>
  </si>
  <si>
    <t>Key Assumptions for Wafer and Ingots</t>
  </si>
  <si>
    <t>International technology road map for PV</t>
  </si>
  <si>
    <t>For Topcon  G12R (182*210mm) wafer were considered, for Mono it is M10 (182*182 mm), most common wafer types by tech</t>
  </si>
  <si>
    <t>Wafer thikness</t>
  </si>
  <si>
    <t>μm</t>
  </si>
  <si>
    <t xml:space="preserve">Lifetime for equipment </t>
  </si>
  <si>
    <t>kWh/wafer</t>
  </si>
  <si>
    <t>Other materials</t>
  </si>
  <si>
    <t># of workers per W</t>
  </si>
  <si>
    <t xml:space="preserve">Key Assumptions for Cell </t>
  </si>
  <si>
    <t>China's Photovoltaic Industry Development Roadmap</t>
  </si>
  <si>
    <t>Silver price is very volatile</t>
  </si>
  <si>
    <t xml:space="preserve">Key Assumptions for Module </t>
  </si>
  <si>
    <t>PVPS presentation for IEA conference</t>
  </si>
  <si>
    <t>Converted from 25MWh/Mwp new requirement for Chinese factories</t>
  </si>
  <si>
    <t>ESG certification(initial costs+maintenance)</t>
  </si>
  <si>
    <t>USD/W</t>
  </si>
  <si>
    <t>Australia</t>
  </si>
  <si>
    <t>Germany</t>
  </si>
  <si>
    <t>India</t>
  </si>
  <si>
    <t>US</t>
  </si>
  <si>
    <t xml:space="preserve"> Export/Import Tables</t>
  </si>
  <si>
    <t>Polysilicon in USD/Wp</t>
  </si>
  <si>
    <t>Country of Origin</t>
  </si>
  <si>
    <t>Destination Country</t>
  </si>
  <si>
    <t>Wafer and Ingots in USD/Wp</t>
  </si>
  <si>
    <t>Solar Cell in USD/Wp</t>
  </si>
  <si>
    <t>Country</t>
  </si>
  <si>
    <t>Source Options</t>
  </si>
  <si>
    <t>About the IRENA Solar PV Manufacturing Cost Model
The IRENA Solar PV Manufacturing Cost Model is a strategic decision-support tool developed under the CEM: Transforming Solar Supply Chains initiative, with the invaluable support of the Government of Australia.
This Excel-based tool provides a quantitative framework to model the levelized cost of production (LCOP) for solar PV modules (USD/Wp) across the complete crystalline silicon value chain, from polysilicon to final module assembly. It covers key global manufacturing markets—including the United States, Germany, China, India, Vietnam, and Australia—and evaluates leading process technologies (monocrystalline PERC and TOPCon). The model allows users to analyze the cost implications of distinct supply chain configurations, such as scenarios based on domestic production versus imported components.
The model is designed to empower policymakers, investors, and industry strategists by enabling them to quantify the impact of policy levers (e.g., tariffs, local content incentives), identify sources of national competitive advantage, and guide strategic investments required to build resilient and diversified solar PV supply chains through 2030.
Disclaimer
This tool and the material herein are provided “as is.” While all reasonable precautions have been taken by IRENA to verify the reliability of the content, IRENA makes no warranty, expressed or implied, and accepts no responsibility for any consequences arising from its use. The findings, interpretations, and conclusions expressed do not necessarily represent the views of all IRENA Members. Mention of specific companies or products does not imply endorsement. All references to countries or territories are for statistical or analytical convenience and do not imply any judgment concerning their legal status or national boundaries.
Acknowledgements
This model was prepared by the International Renewable Energy Agency (IRENA) in direct collaboration with the Department of Climate Change, Energy, the Environment and Water (DCCEEW) of the Government of Australia.
The work was conducted under the strategic guidance of Norela Constantinescu (Acting Director, Innovation and Technology Centre, IRENA) and Simon Benmarraze (Team Lead, Technology and Infrastructure, IRENA). The core model development and analysis were conducted by Aakarshan Vaid (IRENA), Alina Gilmanova (IRENA), and Deborah Ayres (IRENA).
IRENA extends its sincere appreciation to the following external experts for their invaluable technical peer review and input: Michael Woodhouse (National Renewable Energy Laboratory - NREL), and Sandra Choy, Anna Mazzoleni, and Amanda Wormald (DCCEEW, 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</si>
</sst>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409]mmm\-yy;@"/>
    <numFmt numFmtId="166" formatCode="0.000"/>
    <numFmt numFmtId="167" formatCode="0.00000"/>
  </numFmts>
  <fonts count="20">
    <font>
      <sz val="11"/>
      <color theme="1"/>
      <name val="Aptos Narrow"/>
      <family val="2"/>
      <scheme val="minor"/>
    </font>
    <font>
      <b/>
      <sz val="11"/>
      <color theme="1"/>
      <name val="Aptos Narrow"/>
      <family val="2"/>
      <scheme val="minor"/>
    </font>
    <font>
      <i/>
      <sz val="11"/>
      <color theme="1"/>
      <name val="Aptos Narrow"/>
      <family val="2"/>
      <scheme val="minor"/>
    </font>
    <font>
      <sz val="11"/>
      <color rgb="FF0033CC"/>
      <name val="Aptos Narrow"/>
      <family val="2"/>
      <scheme val="minor"/>
    </font>
    <font>
      <sz val="11"/>
      <name val="Aptos Narrow"/>
      <family val="2"/>
      <scheme val="minor"/>
    </font>
    <font>
      <b/>
      <sz val="11"/>
      <name val="Aptos Narrow"/>
      <family val="2"/>
      <scheme val="minor"/>
    </font>
    <font>
      <sz val="11"/>
      <color rgb="FFFF0000"/>
      <name val="Aptos Narrow"/>
      <family val="2"/>
      <scheme val="minor"/>
    </font>
    <font>
      <u/>
      <sz val="11"/>
      <color theme="10"/>
      <name val="Aptos Narrow"/>
      <family val="2"/>
      <scheme val="minor"/>
    </font>
    <font>
      <sz val="11"/>
      <color theme="1"/>
      <name val="Aptos Narrow"/>
      <family val="2"/>
      <scheme val="minor"/>
    </font>
    <font>
      <sz val="10"/>
      <name val="Arial"/>
      <family val="2"/>
    </font>
    <font>
      <b/>
      <sz val="11"/>
      <color rgb="FF0033CC"/>
      <name val="Aptos Narrow"/>
      <family val="2"/>
      <scheme val="minor"/>
    </font>
    <font>
      <b/>
      <i/>
      <sz val="11"/>
      <color theme="1"/>
      <name val="Aptos Narrow"/>
      <family val="2"/>
      <scheme val="minor"/>
    </font>
    <font>
      <b/>
      <sz val="11"/>
      <color rgb="FF000000"/>
      <name val="Aptos Narrow"/>
      <family val="2"/>
    </font>
    <font>
      <sz val="11"/>
      <color rgb="FF000000"/>
      <name val="Aptos Narrow"/>
      <family val="2"/>
    </font>
    <font>
      <b/>
      <u/>
      <sz val="11"/>
      <color theme="1"/>
      <name val="Aptos Narrow"/>
      <family val="2"/>
      <scheme val="minor"/>
    </font>
    <font>
      <sz val="10"/>
      <color rgb="FF000000"/>
      <name val="Arial"/>
      <family val="2"/>
    </font>
    <font>
      <sz val="10"/>
      <color theme="1"/>
      <name val="Arial Unicode MS"/>
    </font>
    <font>
      <sz val="11"/>
      <color rgb="FF000000"/>
      <name val="Aptos Narrow"/>
      <family val="2"/>
      <scheme val="minor"/>
    </font>
    <font>
      <b/>
      <u/>
      <sz val="11"/>
      <color rgb="FF000000"/>
      <name val="Aptos Narrow"/>
      <family val="2"/>
      <scheme val="minor"/>
    </font>
    <font>
      <b/>
      <sz val="11"/>
      <color rgb="FF000000"/>
      <name val="Aptos Narrow"/>
      <family val="2"/>
      <scheme val="minor"/>
    </font>
  </fonts>
  <fills count="14">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rgb="FFFFFFC5"/>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2" tint="-0.249977111117893"/>
        <bgColor indexed="64"/>
      </patternFill>
    </fill>
  </fills>
  <borders count="2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right/>
      <top/>
      <bottom style="thin">
        <color theme="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4">
    <xf numFmtId="0" fontId="0" fillId="0" borderId="0"/>
    <xf numFmtId="0" fontId="7" fillId="0" borderId="0" applyNumberFormat="0" applyFill="0" applyBorder="0" applyAlignment="0" applyProtection="0"/>
    <xf numFmtId="0" fontId="9" fillId="0" borderId="0"/>
    <xf numFmtId="165" fontId="8" fillId="0" borderId="0"/>
  </cellStyleXfs>
  <cellXfs count="206">
    <xf numFmtId="0" fontId="0" fillId="0" borderId="0" xfId="0"/>
    <xf numFmtId="0" fontId="0" fillId="2" borderId="0" xfId="0" applyFill="1"/>
    <xf numFmtId="0" fontId="1" fillId="2" borderId="0" xfId="0" applyFont="1" applyFill="1"/>
    <xf numFmtId="0" fontId="0" fillId="2" borderId="0" xfId="0" applyFill="1" applyAlignment="1">
      <alignment horizontal="center" vertical="center"/>
    </xf>
    <xf numFmtId="0" fontId="2" fillId="2" borderId="0" xfId="0" applyFont="1" applyFill="1"/>
    <xf numFmtId="0" fontId="1" fillId="2" borderId="0" xfId="0" applyFont="1" applyFill="1" applyAlignment="1">
      <alignment horizontal="left" vertical="center"/>
    </xf>
    <xf numFmtId="0" fontId="1" fillId="5" borderId="2" xfId="0" applyFont="1" applyFill="1" applyBorder="1" applyAlignment="1">
      <alignment horizontal="center" vertical="center"/>
    </xf>
    <xf numFmtId="0" fontId="1" fillId="6" borderId="2" xfId="0" applyFont="1" applyFill="1" applyBorder="1" applyAlignment="1">
      <alignment horizontal="center" vertical="center"/>
    </xf>
    <xf numFmtId="0" fontId="4" fillId="9" borderId="3" xfId="0" applyFont="1" applyFill="1" applyBorder="1" applyAlignment="1">
      <alignment horizontal="center" vertical="center"/>
    </xf>
    <xf numFmtId="0" fontId="1" fillId="2" borderId="0" xfId="0" applyFont="1" applyFill="1" applyAlignment="1">
      <alignment horizontal="center" vertical="center"/>
    </xf>
    <xf numFmtId="0" fontId="0" fillId="10" borderId="1" xfId="0" applyFill="1" applyBorder="1"/>
    <xf numFmtId="0" fontId="5" fillId="4" borderId="1" xfId="0" applyFont="1" applyFill="1" applyBorder="1" applyAlignment="1">
      <alignment vertical="center"/>
    </xf>
    <xf numFmtId="0" fontId="0" fillId="4" borderId="1" xfId="0" applyFill="1" applyBorder="1"/>
    <xf numFmtId="0" fontId="0" fillId="2" borderId="1" xfId="0" applyFill="1" applyBorder="1"/>
    <xf numFmtId="0" fontId="0" fillId="12" borderId="1" xfId="0" applyFill="1" applyBorder="1"/>
    <xf numFmtId="0" fontId="5" fillId="12" borderId="1" xfId="0" applyFont="1" applyFill="1" applyBorder="1" applyAlignment="1">
      <alignment vertical="center"/>
    </xf>
    <xf numFmtId="0" fontId="0" fillId="0" borderId="2" xfId="0" applyBorder="1"/>
    <xf numFmtId="0" fontId="0" fillId="8" borderId="2" xfId="0" applyFill="1" applyBorder="1"/>
    <xf numFmtId="0" fontId="0" fillId="8" borderId="2" xfId="0" applyFill="1" applyBorder="1" applyAlignment="1">
      <alignment horizontal="center" vertical="center"/>
    </xf>
    <xf numFmtId="0" fontId="3" fillId="2" borderId="0" xfId="0" applyFont="1" applyFill="1" applyAlignment="1">
      <alignment horizontal="center" vertical="center"/>
    </xf>
    <xf numFmtId="0" fontId="1" fillId="2" borderId="0" xfId="0" applyFont="1" applyFill="1" applyAlignment="1">
      <alignment horizontal="center"/>
    </xf>
    <xf numFmtId="0" fontId="1" fillId="3" borderId="2" xfId="0" applyFont="1" applyFill="1" applyBorder="1" applyAlignment="1">
      <alignment horizontal="center" vertical="center"/>
    </xf>
    <xf numFmtId="0" fontId="0" fillId="0" borderId="2" xfId="0" applyBorder="1" applyAlignment="1">
      <alignment horizontal="center" vertical="center"/>
    </xf>
    <xf numFmtId="0" fontId="1" fillId="2" borderId="0" xfId="0" applyFont="1" applyFill="1" applyAlignment="1">
      <alignment vertical="center"/>
    </xf>
    <xf numFmtId="0" fontId="0" fillId="2" borderId="6" xfId="0" applyFill="1" applyBorder="1"/>
    <xf numFmtId="0" fontId="0" fillId="2" borderId="6" xfId="0" applyFill="1" applyBorder="1" applyAlignment="1">
      <alignment horizontal="center" vertical="center"/>
    </xf>
    <xf numFmtId="0" fontId="1" fillId="2" borderId="6" xfId="0" applyFont="1" applyFill="1" applyBorder="1" applyAlignment="1">
      <alignment vertical="center"/>
    </xf>
    <xf numFmtId="0" fontId="0" fillId="2" borderId="8" xfId="0" applyFill="1" applyBorder="1"/>
    <xf numFmtId="0" fontId="0" fillId="2" borderId="7" xfId="0" applyFill="1" applyBorder="1"/>
    <xf numFmtId="0" fontId="0" fillId="2" borderId="0" xfId="0" applyFill="1" applyAlignment="1">
      <alignment horizontal="right" vertical="center"/>
    </xf>
    <xf numFmtId="0" fontId="0" fillId="2" borderId="9" xfId="0" applyFill="1" applyBorder="1"/>
    <xf numFmtId="0" fontId="1" fillId="2" borderId="1" xfId="0" applyFont="1" applyFill="1" applyBorder="1" applyAlignment="1">
      <alignment horizontal="left"/>
    </xf>
    <xf numFmtId="0" fontId="5" fillId="2" borderId="0" xfId="0" applyFont="1" applyFill="1" applyAlignment="1">
      <alignment horizontal="center" vertical="center"/>
    </xf>
    <xf numFmtId="0" fontId="2" fillId="3" borderId="2" xfId="0" applyFont="1" applyFill="1" applyBorder="1"/>
    <xf numFmtId="0" fontId="11" fillId="3" borderId="2" xfId="0" applyFont="1" applyFill="1" applyBorder="1"/>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2" fillId="3" borderId="12" xfId="0" applyFont="1" applyFill="1" applyBorder="1"/>
    <xf numFmtId="0" fontId="4" fillId="9" borderId="9" xfId="0" applyFont="1" applyFill="1" applyBorder="1" applyAlignment="1">
      <alignment horizontal="center" vertical="center"/>
    </xf>
    <xf numFmtId="0" fontId="0" fillId="8" borderId="4" xfId="0" applyFill="1" applyBorder="1"/>
    <xf numFmtId="0" fontId="0" fillId="8" borderId="4" xfId="0" applyFill="1" applyBorder="1" applyAlignment="1">
      <alignment horizontal="center" vertical="center"/>
    </xf>
    <xf numFmtId="0" fontId="4" fillId="9" borderId="13" xfId="0" applyFont="1" applyFill="1" applyBorder="1" applyAlignment="1">
      <alignment horizontal="center" vertical="center"/>
    </xf>
    <xf numFmtId="0" fontId="4" fillId="9" borderId="2" xfId="0" applyFont="1" applyFill="1" applyBorder="1" applyAlignment="1">
      <alignment horizontal="center" vertical="center"/>
    </xf>
    <xf numFmtId="164" fontId="4" fillId="9" borderId="2" xfId="0" applyNumberFormat="1" applyFont="1" applyFill="1" applyBorder="1" applyAlignment="1">
      <alignment horizontal="center" vertical="center"/>
    </xf>
    <xf numFmtId="166" fontId="4" fillId="9" borderId="2" xfId="0" applyNumberFormat="1" applyFont="1" applyFill="1" applyBorder="1" applyAlignment="1">
      <alignment horizontal="center" vertical="center"/>
    </xf>
    <xf numFmtId="0" fontId="11" fillId="3" borderId="12" xfId="0" applyFont="1" applyFill="1" applyBorder="1"/>
    <xf numFmtId="164" fontId="4" fillId="9" borderId="4" xfId="0" applyNumberFormat="1" applyFont="1" applyFill="1" applyBorder="1" applyAlignment="1">
      <alignment horizontal="center" vertical="center"/>
    </xf>
    <xf numFmtId="0" fontId="1" fillId="8" borderId="2" xfId="0" applyFont="1" applyFill="1" applyBorder="1"/>
    <xf numFmtId="0" fontId="0" fillId="2" borderId="1" xfId="0" applyFill="1" applyBorder="1" applyAlignment="1">
      <alignment horizontal="right"/>
    </xf>
    <xf numFmtId="0" fontId="0" fillId="8" borderId="2" xfId="0" applyFill="1" applyBorder="1" applyAlignment="1">
      <alignment horizontal="left" vertical="center"/>
    </xf>
    <xf numFmtId="166" fontId="4" fillId="9" borderId="3" xfId="0" applyNumberFormat="1" applyFont="1" applyFill="1" applyBorder="1" applyAlignment="1">
      <alignment horizontal="center" vertical="center"/>
    </xf>
    <xf numFmtId="167" fontId="4" fillId="9" borderId="3" xfId="0" applyNumberFormat="1" applyFont="1" applyFill="1" applyBorder="1" applyAlignment="1">
      <alignment horizontal="center" vertical="center"/>
    </xf>
    <xf numFmtId="164" fontId="4" fillId="9" borderId="3" xfId="0" applyNumberFormat="1" applyFont="1" applyFill="1" applyBorder="1" applyAlignment="1">
      <alignment horizontal="center" vertical="center"/>
    </xf>
    <xf numFmtId="0" fontId="0" fillId="2" borderId="1" xfId="0" applyFill="1" applyBorder="1" applyAlignment="1">
      <alignment wrapText="1"/>
    </xf>
    <xf numFmtId="0" fontId="13" fillId="2" borderId="2" xfId="0" applyFont="1" applyFill="1" applyBorder="1" applyAlignment="1">
      <alignment vertical="center"/>
    </xf>
    <xf numFmtId="166" fontId="0" fillId="9" borderId="12" xfId="0" applyNumberFormat="1" applyFill="1" applyBorder="1" applyAlignment="1">
      <alignment horizontal="center" vertical="center"/>
    </xf>
    <xf numFmtId="166" fontId="0" fillId="9" borderId="2" xfId="0" applyNumberFormat="1" applyFill="1" applyBorder="1" applyAlignment="1">
      <alignment horizontal="center" vertical="center"/>
    </xf>
    <xf numFmtId="2" fontId="4" fillId="9" borderId="3" xfId="0" applyNumberFormat="1" applyFont="1" applyFill="1" applyBorder="1" applyAlignment="1">
      <alignment horizontal="center" vertical="center"/>
    </xf>
    <xf numFmtId="0" fontId="4" fillId="11" borderId="3" xfId="0" applyFont="1" applyFill="1" applyBorder="1" applyAlignment="1">
      <alignment horizontal="center" vertical="center"/>
    </xf>
    <xf numFmtId="0" fontId="4" fillId="11" borderId="2" xfId="0" applyFont="1" applyFill="1" applyBorder="1" applyAlignment="1">
      <alignment horizontal="center" vertical="center"/>
    </xf>
    <xf numFmtId="0" fontId="4" fillId="8" borderId="2" xfId="0" applyFont="1" applyFill="1" applyBorder="1"/>
    <xf numFmtId="0" fontId="4" fillId="8" borderId="2" xfId="0" applyFont="1" applyFill="1" applyBorder="1" applyAlignment="1">
      <alignment horizontal="center" vertical="center"/>
    </xf>
    <xf numFmtId="0" fontId="0" fillId="11" borderId="2" xfId="0" applyFill="1" applyBorder="1" applyAlignment="1">
      <alignment horizontal="center" vertical="center"/>
    </xf>
    <xf numFmtId="0" fontId="5" fillId="2" borderId="0" xfId="0" applyFont="1" applyFill="1"/>
    <xf numFmtId="0" fontId="4" fillId="2" borderId="6" xfId="0" applyFont="1" applyFill="1" applyBorder="1"/>
    <xf numFmtId="0" fontId="4" fillId="2" borderId="0" xfId="0" applyFont="1" applyFill="1"/>
    <xf numFmtId="0" fontId="5" fillId="3" borderId="2" xfId="0" applyFont="1" applyFill="1" applyBorder="1" applyAlignment="1">
      <alignment horizontal="center" vertical="center"/>
    </xf>
    <xf numFmtId="0" fontId="4" fillId="2" borderId="1" xfId="0" applyFont="1" applyFill="1" applyBorder="1"/>
    <xf numFmtId="0" fontId="13" fillId="8" borderId="2" xfId="0" applyFont="1" applyFill="1" applyBorder="1" applyAlignment="1">
      <alignment vertical="center"/>
    </xf>
    <xf numFmtId="0" fontId="13" fillId="8" borderId="2" xfId="0" applyFont="1" applyFill="1" applyBorder="1" applyAlignment="1">
      <alignment horizontal="center" vertical="center"/>
    </xf>
    <xf numFmtId="0" fontId="1" fillId="2" borderId="0" xfId="0" applyFont="1" applyFill="1" applyAlignment="1">
      <alignment horizontal="right" vertical="center"/>
    </xf>
    <xf numFmtId="0" fontId="5" fillId="3" borderId="10" xfId="0" applyFont="1" applyFill="1" applyBorder="1" applyAlignment="1">
      <alignment horizontal="center" vertical="center"/>
    </xf>
    <xf numFmtId="0" fontId="4" fillId="9" borderId="10" xfId="0" applyFont="1" applyFill="1" applyBorder="1" applyAlignment="1">
      <alignment horizontal="center" vertical="center"/>
    </xf>
    <xf numFmtId="166" fontId="4" fillId="11" borderId="3" xfId="0" applyNumberFormat="1" applyFont="1" applyFill="1" applyBorder="1" applyAlignment="1">
      <alignment horizontal="center" vertical="center"/>
    </xf>
    <xf numFmtId="164" fontId="4" fillId="11" borderId="2" xfId="0" applyNumberFormat="1" applyFont="1" applyFill="1" applyBorder="1" applyAlignment="1">
      <alignment horizontal="center" vertical="center"/>
    </xf>
    <xf numFmtId="166" fontId="4" fillId="11" borderId="2" xfId="0" applyNumberFormat="1" applyFont="1" applyFill="1" applyBorder="1" applyAlignment="1">
      <alignment horizontal="center" vertical="center"/>
    </xf>
    <xf numFmtId="164" fontId="4" fillId="11" borderId="4" xfId="0" applyNumberFormat="1" applyFont="1" applyFill="1" applyBorder="1" applyAlignment="1">
      <alignment horizontal="center" vertical="center"/>
    </xf>
    <xf numFmtId="0" fontId="13" fillId="2" borderId="10" xfId="0" applyFont="1" applyFill="1" applyBorder="1" applyAlignment="1">
      <alignment horizontal="center" vertical="center"/>
    </xf>
    <xf numFmtId="2" fontId="4" fillId="11" borderId="3" xfId="0" applyNumberFormat="1" applyFont="1" applyFill="1" applyBorder="1" applyAlignment="1">
      <alignment horizontal="center" vertical="center"/>
    </xf>
    <xf numFmtId="167" fontId="4" fillId="9" borderId="2" xfId="0" applyNumberFormat="1" applyFont="1" applyFill="1" applyBorder="1" applyAlignment="1">
      <alignment horizontal="center" vertical="center"/>
    </xf>
    <xf numFmtId="0" fontId="5" fillId="10" borderId="1" xfId="0" applyFont="1" applyFill="1" applyBorder="1" applyAlignment="1">
      <alignment vertical="center"/>
    </xf>
    <xf numFmtId="0" fontId="0" fillId="10" borderId="1" xfId="0" applyFill="1" applyBorder="1" applyAlignment="1">
      <alignment horizontal="center" vertical="center"/>
    </xf>
    <xf numFmtId="0" fontId="0" fillId="2" borderId="1" xfId="0" applyFill="1" applyBorder="1" applyAlignment="1">
      <alignment horizontal="center" vertical="center"/>
    </xf>
    <xf numFmtId="0" fontId="0" fillId="11" borderId="12" xfId="0" applyFill="1" applyBorder="1" applyAlignment="1">
      <alignment horizontal="center" vertical="center"/>
    </xf>
    <xf numFmtId="166" fontId="0" fillId="11" borderId="12" xfId="0" applyNumberFormat="1" applyFill="1" applyBorder="1" applyAlignment="1">
      <alignment horizontal="center" vertical="center"/>
    </xf>
    <xf numFmtId="166" fontId="0" fillId="11" borderId="2" xfId="0" applyNumberFormat="1" applyFill="1" applyBorder="1" applyAlignment="1">
      <alignment horizontal="center" vertical="center"/>
    </xf>
    <xf numFmtId="0" fontId="0" fillId="9" borderId="2" xfId="0" applyFill="1" applyBorder="1" applyAlignment="1">
      <alignment horizontal="center" vertical="center"/>
    </xf>
    <xf numFmtId="0" fontId="6" fillId="2" borderId="1" xfId="0" applyFont="1" applyFill="1" applyBorder="1" applyAlignment="1">
      <alignment horizontal="center" vertical="center"/>
    </xf>
    <xf numFmtId="0" fontId="1" fillId="2" borderId="1" xfId="0" applyFont="1" applyFill="1" applyBorder="1" applyAlignment="1">
      <alignment horizontal="left" vertical="center"/>
    </xf>
    <xf numFmtId="0" fontId="4" fillId="9" borderId="8" xfId="0" applyFont="1" applyFill="1" applyBorder="1" applyAlignment="1">
      <alignment horizontal="center" vertical="center"/>
    </xf>
    <xf numFmtId="0" fontId="0" fillId="0" borderId="14" xfId="0" applyBorder="1"/>
    <xf numFmtId="0" fontId="0" fillId="0" borderId="14" xfId="0" applyBorder="1" applyAlignment="1">
      <alignment horizontal="center" vertical="center"/>
    </xf>
    <xf numFmtId="0" fontId="13" fillId="2" borderId="14" xfId="0" applyFont="1" applyFill="1" applyBorder="1" applyAlignment="1">
      <alignment vertical="center"/>
    </xf>
    <xf numFmtId="0" fontId="0" fillId="3" borderId="1" xfId="0" applyFill="1" applyBorder="1"/>
    <xf numFmtId="0" fontId="5" fillId="2" borderId="0" xfId="0" applyFont="1" applyFill="1" applyAlignment="1">
      <alignment vertical="center"/>
    </xf>
    <xf numFmtId="0" fontId="1" fillId="3" borderId="10" xfId="0" applyFont="1" applyFill="1" applyBorder="1" applyAlignment="1">
      <alignment horizontal="center" vertical="center"/>
    </xf>
    <xf numFmtId="0" fontId="1" fillId="3" borderId="15" xfId="0" applyFont="1" applyFill="1" applyBorder="1" applyAlignment="1">
      <alignment horizontal="center" vertical="center"/>
    </xf>
    <xf numFmtId="0" fontId="4" fillId="9" borderId="15" xfId="0" applyFont="1" applyFill="1" applyBorder="1" applyAlignment="1">
      <alignment horizontal="center" vertical="center"/>
    </xf>
    <xf numFmtId="0" fontId="0" fillId="0" borderId="10" xfId="0" applyBorder="1" applyAlignment="1">
      <alignment horizontal="center" vertical="center"/>
    </xf>
    <xf numFmtId="0" fontId="5" fillId="3" borderId="16" xfId="0" applyFont="1" applyFill="1" applyBorder="1" applyAlignment="1">
      <alignment vertical="center"/>
    </xf>
    <xf numFmtId="0" fontId="0" fillId="3" borderId="16" xfId="0" applyFill="1" applyBorder="1"/>
    <xf numFmtId="0" fontId="12" fillId="3" borderId="2" xfId="0" applyFont="1" applyFill="1" applyBorder="1" applyAlignment="1">
      <alignment vertical="center"/>
    </xf>
    <xf numFmtId="0" fontId="12" fillId="3" borderId="2" xfId="0" applyFont="1" applyFill="1" applyBorder="1" applyAlignment="1">
      <alignment horizontal="center" vertical="center"/>
    </xf>
    <xf numFmtId="0" fontId="12" fillId="3" borderId="10"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0" fillId="9" borderId="2" xfId="0" applyFill="1" applyBorder="1"/>
    <xf numFmtId="0" fontId="13" fillId="9" borderId="2" xfId="0" applyFont="1" applyFill="1" applyBorder="1" applyAlignment="1">
      <alignment vertical="center"/>
    </xf>
    <xf numFmtId="0" fontId="13" fillId="9" borderId="2" xfId="0" applyFont="1" applyFill="1" applyBorder="1" applyAlignment="1">
      <alignment horizontal="center" vertical="center"/>
    </xf>
    <xf numFmtId="0" fontId="13" fillId="9" borderId="10" xfId="0" applyFont="1" applyFill="1" applyBorder="1" applyAlignment="1">
      <alignment horizontal="center" vertical="center" wrapText="1"/>
    </xf>
    <xf numFmtId="0" fontId="13" fillId="9" borderId="2" xfId="0" applyFont="1" applyFill="1" applyBorder="1" applyAlignment="1">
      <alignment horizontal="left" vertical="center"/>
    </xf>
    <xf numFmtId="0" fontId="13" fillId="9" borderId="10" xfId="0" applyFont="1" applyFill="1" applyBorder="1" applyAlignment="1">
      <alignment horizontal="center" vertical="center"/>
    </xf>
    <xf numFmtId="1" fontId="4" fillId="11" borderId="2" xfId="0" applyNumberFormat="1" applyFont="1" applyFill="1" applyBorder="1" applyAlignment="1">
      <alignment horizontal="center" vertical="center"/>
    </xf>
    <xf numFmtId="164" fontId="4" fillId="9" borderId="14" xfId="0" applyNumberFormat="1" applyFont="1" applyFill="1" applyBorder="1" applyAlignment="1">
      <alignment horizontal="center" vertical="center"/>
    </xf>
    <xf numFmtId="164" fontId="4" fillId="11" borderId="14" xfId="0" applyNumberFormat="1" applyFont="1" applyFill="1" applyBorder="1" applyAlignment="1">
      <alignment horizontal="center" vertical="center"/>
    </xf>
    <xf numFmtId="2" fontId="0" fillId="11" borderId="2" xfId="0" applyNumberFormat="1" applyFill="1" applyBorder="1" applyAlignment="1">
      <alignment horizontal="center" vertical="center"/>
    </xf>
    <xf numFmtId="1" fontId="4" fillId="9" borderId="2" xfId="0" applyNumberFormat="1" applyFont="1" applyFill="1" applyBorder="1" applyAlignment="1">
      <alignment horizontal="center" vertical="center"/>
    </xf>
    <xf numFmtId="1" fontId="0" fillId="11" borderId="2" xfId="0" applyNumberFormat="1" applyFill="1" applyBorder="1" applyAlignment="1">
      <alignment horizontal="center" vertical="center"/>
    </xf>
    <xf numFmtId="1" fontId="4" fillId="9" borderId="3" xfId="0" applyNumberFormat="1" applyFont="1" applyFill="1" applyBorder="1" applyAlignment="1">
      <alignment horizontal="center" vertical="center"/>
    </xf>
    <xf numFmtId="164" fontId="4" fillId="9" borderId="13" xfId="0" applyNumberFormat="1" applyFont="1" applyFill="1" applyBorder="1" applyAlignment="1">
      <alignment horizontal="center" vertical="center"/>
    </xf>
    <xf numFmtId="164" fontId="4" fillId="11" borderId="13" xfId="0" applyNumberFormat="1" applyFont="1" applyFill="1" applyBorder="1" applyAlignment="1">
      <alignment horizontal="center" vertical="center"/>
    </xf>
    <xf numFmtId="0" fontId="4" fillId="11" borderId="13" xfId="0" applyFont="1" applyFill="1" applyBorder="1" applyAlignment="1">
      <alignment horizontal="center" vertical="center"/>
    </xf>
    <xf numFmtId="167" fontId="4" fillId="9" borderId="11" xfId="0" applyNumberFormat="1" applyFont="1" applyFill="1" applyBorder="1" applyAlignment="1">
      <alignment horizontal="center" vertical="center"/>
    </xf>
    <xf numFmtId="0" fontId="1" fillId="6" borderId="14" xfId="0" applyFont="1" applyFill="1" applyBorder="1" applyAlignment="1">
      <alignment horizontal="center" vertical="center"/>
    </xf>
    <xf numFmtId="0" fontId="0" fillId="9" borderId="12" xfId="0" applyFill="1" applyBorder="1" applyAlignment="1">
      <alignment horizontal="center" vertical="center"/>
    </xf>
    <xf numFmtId="164" fontId="4" fillId="11" borderId="3" xfId="0" applyNumberFormat="1" applyFont="1" applyFill="1" applyBorder="1" applyAlignment="1">
      <alignment horizontal="center" vertical="center"/>
    </xf>
    <xf numFmtId="166" fontId="4" fillId="11" borderId="4" xfId="0" applyNumberFormat="1" applyFont="1" applyFill="1" applyBorder="1" applyAlignment="1">
      <alignment horizontal="center" vertical="center"/>
    </xf>
    <xf numFmtId="1" fontId="4" fillId="11" borderId="3" xfId="0" applyNumberFormat="1" applyFont="1" applyFill="1" applyBorder="1" applyAlignment="1">
      <alignment horizontal="center" vertical="center"/>
    </xf>
    <xf numFmtId="166" fontId="4" fillId="9" borderId="4" xfId="0" applyNumberFormat="1" applyFont="1" applyFill="1" applyBorder="1" applyAlignment="1">
      <alignment horizontal="center" vertical="center"/>
    </xf>
    <xf numFmtId="0" fontId="0" fillId="8" borderId="4" xfId="0" applyFill="1" applyBorder="1" applyAlignment="1">
      <alignment horizontal="center"/>
    </xf>
    <xf numFmtId="164" fontId="4" fillId="8" borderId="4" xfId="0" applyNumberFormat="1" applyFont="1" applyFill="1" applyBorder="1" applyAlignment="1">
      <alignment horizontal="center" vertical="center"/>
    </xf>
    <xf numFmtId="164" fontId="4" fillId="9" borderId="12" xfId="0" applyNumberFormat="1" applyFont="1" applyFill="1" applyBorder="1" applyAlignment="1">
      <alignment horizontal="center" vertical="center"/>
    </xf>
    <xf numFmtId="164" fontId="4" fillId="11" borderId="12" xfId="0" applyNumberFormat="1" applyFont="1" applyFill="1" applyBorder="1" applyAlignment="1">
      <alignment horizontal="center" vertical="center"/>
    </xf>
    <xf numFmtId="167" fontId="4" fillId="9" borderId="17" xfId="0" applyNumberFormat="1" applyFont="1" applyFill="1" applyBorder="1" applyAlignment="1">
      <alignment horizontal="center" vertical="center"/>
    </xf>
    <xf numFmtId="2" fontId="0" fillId="9" borderId="2" xfId="0" applyNumberFormat="1" applyFill="1" applyBorder="1" applyAlignment="1">
      <alignment horizontal="center" vertical="center"/>
    </xf>
    <xf numFmtId="166" fontId="4" fillId="9" borderId="9" xfId="0" applyNumberFormat="1" applyFont="1" applyFill="1" applyBorder="1" applyAlignment="1">
      <alignment horizontal="center" vertical="center"/>
    </xf>
    <xf numFmtId="0" fontId="4" fillId="9" borderId="2" xfId="0" applyFont="1" applyFill="1" applyBorder="1" applyAlignment="1">
      <alignment horizontal="left" vertical="center"/>
    </xf>
    <xf numFmtId="0" fontId="4" fillId="9" borderId="2" xfId="0" applyFont="1" applyFill="1" applyBorder="1" applyAlignment="1">
      <alignment horizontal="center" vertical="center" wrapText="1"/>
    </xf>
    <xf numFmtId="0" fontId="7" fillId="9" borderId="0" xfId="1" applyFill="1"/>
    <xf numFmtId="0" fontId="7" fillId="9" borderId="10" xfId="1" applyFill="1" applyBorder="1" applyAlignment="1">
      <alignment horizontal="left" vertical="center"/>
    </xf>
    <xf numFmtId="0" fontId="7" fillId="9" borderId="2" xfId="1" applyFill="1" applyBorder="1" applyAlignment="1">
      <alignment horizontal="left" vertical="center" wrapText="1"/>
    </xf>
    <xf numFmtId="0" fontId="13" fillId="9" borderId="2" xfId="0" applyFont="1" applyFill="1" applyBorder="1" applyAlignment="1">
      <alignment horizontal="left" vertical="center" wrapText="1"/>
    </xf>
    <xf numFmtId="0" fontId="11" fillId="2" borderId="0" xfId="0" applyFont="1" applyFill="1"/>
    <xf numFmtId="0" fontId="0" fillId="2" borderId="0" xfId="0" quotePrefix="1" applyFill="1" applyAlignment="1">
      <alignment horizontal="center" vertical="center"/>
    </xf>
    <xf numFmtId="167" fontId="5" fillId="2" borderId="0" xfId="0" applyNumberFormat="1" applyFont="1" applyFill="1" applyAlignment="1">
      <alignment horizontal="center" vertical="center"/>
    </xf>
    <xf numFmtId="0" fontId="1" fillId="2" borderId="7" xfId="0" applyFont="1" applyFill="1" applyBorder="1" applyAlignment="1">
      <alignment horizontal="center" vertical="center"/>
    </xf>
    <xf numFmtId="0" fontId="4" fillId="2" borderId="7" xfId="0" applyFont="1" applyFill="1" applyBorder="1" applyAlignment="1">
      <alignment horizontal="center" vertical="center"/>
    </xf>
    <xf numFmtId="0" fontId="5" fillId="2" borderId="7" xfId="0" applyFont="1" applyFill="1" applyBorder="1" applyAlignment="1">
      <alignment horizontal="center" vertical="center"/>
    </xf>
    <xf numFmtId="166" fontId="1" fillId="2" borderId="0" xfId="0" applyNumberFormat="1" applyFont="1" applyFill="1" applyAlignment="1">
      <alignment horizontal="center"/>
    </xf>
    <xf numFmtId="0" fontId="1" fillId="3" borderId="2" xfId="0" applyFont="1" applyFill="1" applyBorder="1" applyAlignment="1">
      <alignment horizontal="center" vertical="center" wrapText="1"/>
    </xf>
    <xf numFmtId="0" fontId="14" fillId="2" borderId="0" xfId="0" applyFont="1" applyFill="1"/>
    <xf numFmtId="0" fontId="11" fillId="2" borderId="0" xfId="0" applyFont="1" applyFill="1" applyAlignment="1">
      <alignment horizontal="right" vertical="center"/>
    </xf>
    <xf numFmtId="0" fontId="0" fillId="2" borderId="0" xfId="0" applyFill="1" applyAlignment="1">
      <alignment vertical="top"/>
    </xf>
    <xf numFmtId="0" fontId="0" fillId="2" borderId="0" xfId="0" applyFill="1" applyAlignment="1">
      <alignment vertical="top" wrapText="1"/>
    </xf>
    <xf numFmtId="0" fontId="0" fillId="2" borderId="6" xfId="0" applyFill="1" applyBorder="1" applyAlignment="1">
      <alignment horizontal="right" vertical="center"/>
    </xf>
    <xf numFmtId="0" fontId="0" fillId="0" borderId="7" xfId="0" applyBorder="1"/>
    <xf numFmtId="0" fontId="0" fillId="2" borderId="1" xfId="0" applyFill="1" applyBorder="1" applyAlignment="1">
      <alignment horizontal="right" vertical="center"/>
    </xf>
    <xf numFmtId="0" fontId="1" fillId="2" borderId="1" xfId="0" applyFont="1" applyFill="1" applyBorder="1" applyAlignment="1">
      <alignment vertical="center"/>
    </xf>
    <xf numFmtId="0" fontId="1" fillId="13" borderId="2" xfId="0" applyFont="1" applyFill="1" applyBorder="1"/>
    <xf numFmtId="0" fontId="1" fillId="8" borderId="2" xfId="0" applyFont="1" applyFill="1" applyBorder="1" applyAlignment="1">
      <alignment vertical="center" wrapText="1"/>
    </xf>
    <xf numFmtId="0" fontId="0" fillId="8" borderId="2" xfId="0" applyFill="1" applyBorder="1" applyAlignment="1">
      <alignment vertical="center" wrapText="1"/>
    </xf>
    <xf numFmtId="0" fontId="15" fillId="0" borderId="0" xfId="0" applyFont="1"/>
    <xf numFmtId="166" fontId="5" fillId="9" borderId="3" xfId="0" applyNumberFormat="1" applyFont="1" applyFill="1" applyBorder="1" applyAlignment="1">
      <alignment horizontal="center" vertical="center"/>
    </xf>
    <xf numFmtId="166" fontId="1" fillId="11" borderId="2" xfId="0" applyNumberFormat="1" applyFont="1" applyFill="1" applyBorder="1" applyAlignment="1">
      <alignment horizontal="center" vertical="center"/>
    </xf>
    <xf numFmtId="164" fontId="1" fillId="9" borderId="2" xfId="0" applyNumberFormat="1" applyFont="1" applyFill="1" applyBorder="1" applyAlignment="1">
      <alignment horizontal="center" vertical="center"/>
    </xf>
    <xf numFmtId="164" fontId="1" fillId="11" borderId="2" xfId="0" applyNumberFormat="1" applyFont="1" applyFill="1" applyBorder="1" applyAlignment="1">
      <alignment horizontal="center" vertical="center"/>
    </xf>
    <xf numFmtId="164" fontId="5" fillId="9" borderId="3" xfId="0" applyNumberFormat="1" applyFont="1" applyFill="1" applyBorder="1" applyAlignment="1">
      <alignment horizontal="center" vertical="center"/>
    </xf>
    <xf numFmtId="164" fontId="5" fillId="9" borderId="2" xfId="0" applyNumberFormat="1" applyFont="1" applyFill="1" applyBorder="1" applyAlignment="1">
      <alignment horizontal="center" vertical="center"/>
    </xf>
    <xf numFmtId="164" fontId="5" fillId="11" borderId="2" xfId="0" applyNumberFormat="1" applyFont="1" applyFill="1" applyBorder="1" applyAlignment="1">
      <alignment horizontal="center" vertical="center"/>
    </xf>
    <xf numFmtId="166" fontId="5" fillId="11" borderId="3" xfId="0" applyNumberFormat="1" applyFont="1" applyFill="1" applyBorder="1" applyAlignment="1">
      <alignment horizontal="center" vertical="center"/>
    </xf>
    <xf numFmtId="0" fontId="0" fillId="9" borderId="2" xfId="0" applyFill="1" applyBorder="1" applyAlignment="1">
      <alignment horizontal="center" vertical="center" wrapText="1"/>
    </xf>
    <xf numFmtId="166" fontId="0" fillId="2" borderId="0" xfId="0" applyNumberFormat="1" applyFill="1"/>
    <xf numFmtId="0" fontId="0" fillId="3" borderId="5" xfId="0" applyFill="1" applyBorder="1" applyAlignment="1">
      <alignment horizontal="center"/>
    </xf>
    <xf numFmtId="0" fontId="0" fillId="3" borderId="10" xfId="0" applyFill="1" applyBorder="1" applyAlignment="1">
      <alignment horizontal="center"/>
    </xf>
    <xf numFmtId="0" fontId="1" fillId="3" borderId="10" xfId="0" applyFont="1" applyFill="1" applyBorder="1" applyAlignment="1">
      <alignment horizontal="center"/>
    </xf>
    <xf numFmtId="0" fontId="1" fillId="3" borderId="5" xfId="0" applyFont="1" applyFill="1" applyBorder="1" applyAlignment="1">
      <alignment horizontal="center"/>
    </xf>
    <xf numFmtId="166" fontId="4" fillId="9" borderId="14" xfId="0" applyNumberFormat="1" applyFont="1" applyFill="1" applyBorder="1" applyAlignment="1">
      <alignment horizontal="center" vertical="center"/>
    </xf>
    <xf numFmtId="0" fontId="1" fillId="8" borderId="10" xfId="0" applyFont="1" applyFill="1" applyBorder="1" applyAlignment="1">
      <alignment horizontal="center" vertical="center"/>
    </xf>
    <xf numFmtId="0" fontId="1" fillId="5" borderId="14" xfId="0" applyFont="1" applyFill="1" applyBorder="1" applyAlignment="1">
      <alignment horizontal="center" vertical="center"/>
    </xf>
    <xf numFmtId="0" fontId="0" fillId="8" borderId="18" xfId="0" applyFill="1" applyBorder="1" applyAlignment="1">
      <alignment horizontal="center" vertical="center"/>
    </xf>
    <xf numFmtId="0" fontId="4" fillId="9" borderId="4" xfId="0" applyFont="1" applyFill="1" applyBorder="1" applyAlignment="1">
      <alignment horizontal="center" vertical="center"/>
    </xf>
    <xf numFmtId="0" fontId="0" fillId="8" borderId="18" xfId="0" applyFill="1" applyBorder="1"/>
    <xf numFmtId="0" fontId="0" fillId="8" borderId="14" xfId="0" applyFill="1" applyBorder="1" applyAlignment="1">
      <alignment horizontal="center" vertical="center"/>
    </xf>
    <xf numFmtId="0" fontId="0" fillId="8" borderId="10" xfId="0" applyFill="1" applyBorder="1"/>
    <xf numFmtId="164" fontId="4" fillId="8" borderId="13" xfId="0" applyNumberFormat="1" applyFont="1" applyFill="1" applyBorder="1" applyAlignment="1">
      <alignment horizontal="center" vertical="center"/>
    </xf>
    <xf numFmtId="167" fontId="4" fillId="11" borderId="2" xfId="0" applyNumberFormat="1" applyFont="1" applyFill="1" applyBorder="1" applyAlignment="1">
      <alignment horizontal="center" vertical="center"/>
    </xf>
    <xf numFmtId="166" fontId="4" fillId="9" borderId="19" xfId="0" applyNumberFormat="1" applyFont="1" applyFill="1" applyBorder="1" applyAlignment="1">
      <alignment horizontal="center" vertical="center"/>
    </xf>
    <xf numFmtId="166" fontId="5" fillId="9" borderId="2" xfId="0" applyNumberFormat="1" applyFont="1" applyFill="1" applyBorder="1" applyAlignment="1">
      <alignment horizontal="center" vertical="center"/>
    </xf>
    <xf numFmtId="0" fontId="4" fillId="9" borderId="19" xfId="0" applyFont="1" applyFill="1" applyBorder="1" applyAlignment="1">
      <alignment horizontal="center" vertical="center"/>
    </xf>
    <xf numFmtId="167" fontId="4" fillId="9" borderId="20" xfId="0" applyNumberFormat="1" applyFont="1" applyFill="1" applyBorder="1" applyAlignment="1">
      <alignment horizontal="center" vertical="center"/>
    </xf>
    <xf numFmtId="167" fontId="4" fillId="9" borderId="10" xfId="0" applyNumberFormat="1" applyFont="1" applyFill="1" applyBorder="1" applyAlignment="1">
      <alignment horizontal="center" vertical="center"/>
    </xf>
    <xf numFmtId="164" fontId="5" fillId="9" borderId="10" xfId="0" applyNumberFormat="1" applyFont="1" applyFill="1" applyBorder="1" applyAlignment="1">
      <alignment horizontal="center" vertical="center"/>
    </xf>
    <xf numFmtId="167" fontId="4" fillId="9" borderId="19" xfId="0" applyNumberFormat="1" applyFont="1" applyFill="1" applyBorder="1" applyAlignment="1">
      <alignment horizontal="center" vertical="center"/>
    </xf>
    <xf numFmtId="166" fontId="0" fillId="9" borderId="4" xfId="0" applyNumberFormat="1" applyFill="1" applyBorder="1" applyAlignment="1">
      <alignment horizontal="center" vertical="center"/>
    </xf>
    <xf numFmtId="0" fontId="0" fillId="3" borderId="16" xfId="0" applyFill="1" applyBorder="1" applyAlignment="1">
      <alignment horizontal="left"/>
    </xf>
    <xf numFmtId="0" fontId="0" fillId="2" borderId="0" xfId="0" applyFill="1" applyAlignment="1">
      <alignment horizontal="left"/>
    </xf>
    <xf numFmtId="0" fontId="12" fillId="3" borderId="2" xfId="0" applyFont="1" applyFill="1" applyBorder="1" applyAlignment="1">
      <alignment horizontal="left" vertical="center" wrapText="1"/>
    </xf>
    <xf numFmtId="0" fontId="0" fillId="9" borderId="2" xfId="0" applyFill="1" applyBorder="1" applyAlignment="1">
      <alignment horizontal="left"/>
    </xf>
    <xf numFmtId="0" fontId="13" fillId="9" borderId="2" xfId="0" applyFont="1" applyFill="1" applyBorder="1" applyAlignment="1">
      <alignment horizontal="center" vertical="center" wrapText="1"/>
    </xf>
    <xf numFmtId="0" fontId="13" fillId="9" borderId="2" xfId="0" applyFont="1" applyFill="1" applyBorder="1" applyAlignment="1">
      <alignment horizontal="left" vertical="top"/>
    </xf>
    <xf numFmtId="0" fontId="10" fillId="7" borderId="2" xfId="0" applyFont="1" applyFill="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166" fontId="16" fillId="9" borderId="2" xfId="0" applyNumberFormat="1" applyFont="1" applyFill="1" applyBorder="1" applyAlignment="1" applyProtection="1">
      <alignment horizontal="center" vertical="center" wrapText="1"/>
      <protection hidden="1"/>
    </xf>
    <xf numFmtId="0" fontId="0" fillId="2" borderId="2" xfId="0" quotePrefix="1" applyFill="1" applyBorder="1" applyAlignment="1">
      <alignment horizontal="left" vertical="top" wrapText="1"/>
    </xf>
    <xf numFmtId="0" fontId="0" fillId="2" borderId="2" xfId="0" applyFill="1" applyBorder="1" applyAlignment="1">
      <alignment horizontal="left" vertical="top" wrapText="1"/>
    </xf>
    <xf numFmtId="0" fontId="17" fillId="2" borderId="2" xfId="0" quotePrefix="1" applyFont="1" applyFill="1" applyBorder="1" applyAlignment="1">
      <alignment horizontal="left" vertical="top" wrapText="1"/>
    </xf>
    <xf numFmtId="0" fontId="1" fillId="2" borderId="0" xfId="0" applyFont="1" applyFill="1" applyAlignment="1">
      <alignment horizontal="center" vertical="center"/>
    </xf>
  </cellXfs>
  <cellStyles count="4">
    <cellStyle name="Hyperlink" xfId="1" builtinId="8"/>
    <cellStyle name="Normal" xfId="0" builtinId="0"/>
    <cellStyle name="Normal 143 3" xfId="3" xr:uid="{EFB3825C-410B-4CE7-9B7D-00DF808780D1}"/>
    <cellStyle name="Normal 2" xfId="2" xr:uid="{DA23EE85-B9B6-4F40-9D95-ED7C2764233E}"/>
  </cellStyles>
  <dxfs count="0"/>
  <tableStyles count="0" defaultTableStyle="TableStyleMedium2" defaultPivotStyle="PivotStyleLight16"/>
  <colors>
    <mruColors>
      <color rgb="FFFFFFC5"/>
      <color rgb="FF0033CC"/>
      <color rgb="FFE5F6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Total Module Production Cost (TOPCon &amp; Monocrystalline)</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Monocrystalline (without ESG)</c:v>
          </c:tx>
          <c:spPr>
            <a:solidFill>
              <a:schemeClr val="accent2"/>
            </a:solidFill>
            <a:ln>
              <a:noFill/>
            </a:ln>
            <a:effectLst/>
          </c:spPr>
          <c:invertIfNegative val="0"/>
          <c:cat>
            <c:numRef>
              <c:f>'Cost Model_Calculations'!$I$190:$N$190</c:f>
              <c:numCache>
                <c:formatCode>General</c:formatCode>
                <c:ptCount val="6"/>
                <c:pt idx="0">
                  <c:v>2025</c:v>
                </c:pt>
                <c:pt idx="1">
                  <c:v>2026</c:v>
                </c:pt>
                <c:pt idx="2">
                  <c:v>2027</c:v>
                </c:pt>
                <c:pt idx="3">
                  <c:v>2028</c:v>
                </c:pt>
                <c:pt idx="4">
                  <c:v>2029</c:v>
                </c:pt>
                <c:pt idx="5">
                  <c:v>2030</c:v>
                </c:pt>
              </c:numCache>
            </c:numRef>
          </c:cat>
          <c:val>
            <c:numRef>
              <c:f>'Cost Model_Calculations'!$I$191:$N$191</c:f>
              <c:numCache>
                <c:formatCode>0.000</c:formatCode>
                <c:ptCount val="6"/>
                <c:pt idx="0">
                  <c:v>0.2504141453178263</c:v>
                </c:pt>
                <c:pt idx="1">
                  <c:v>0.24915776354259028</c:v>
                </c:pt>
                <c:pt idx="2">
                  <c:v>0.24856904182759754</c:v>
                </c:pt>
                <c:pt idx="3">
                  <c:v>0.247081407631278</c:v>
                </c:pt>
                <c:pt idx="4">
                  <c:v>0.24604374906247051</c:v>
                </c:pt>
                <c:pt idx="5">
                  <c:v>0.24485401492298636</c:v>
                </c:pt>
              </c:numCache>
            </c:numRef>
          </c:val>
          <c:extLst>
            <c:ext xmlns:c16="http://schemas.microsoft.com/office/drawing/2014/chart" uri="{C3380CC4-5D6E-409C-BE32-E72D297353CC}">
              <c16:uniqueId val="{00000001-0F7D-4AEB-B441-D941A2117BD0}"/>
            </c:ext>
          </c:extLst>
        </c:ser>
        <c:ser>
          <c:idx val="3"/>
          <c:order val="1"/>
          <c:tx>
            <c:v>Monocrystalline (with ESG)</c:v>
          </c:tx>
          <c:spPr>
            <a:solidFill>
              <a:schemeClr val="accent4"/>
            </a:solidFill>
            <a:ln>
              <a:noFill/>
            </a:ln>
            <a:effectLst/>
          </c:spPr>
          <c:invertIfNegative val="0"/>
          <c:val>
            <c:numRef>
              <c:f>'Cost Model_Calculations'!$I$192:$N$192</c:f>
              <c:numCache>
                <c:formatCode>0.000</c:formatCode>
                <c:ptCount val="6"/>
                <c:pt idx="0">
                  <c:v>0.25281414531782631</c:v>
                </c:pt>
                <c:pt idx="1">
                  <c:v>0.2515577635425903</c:v>
                </c:pt>
                <c:pt idx="2">
                  <c:v>0.25096904182759755</c:v>
                </c:pt>
                <c:pt idx="3">
                  <c:v>0.250681407631278</c:v>
                </c:pt>
                <c:pt idx="4">
                  <c:v>0.2496437490624705</c:v>
                </c:pt>
                <c:pt idx="5">
                  <c:v>0.24845401492298635</c:v>
                </c:pt>
              </c:numCache>
            </c:numRef>
          </c:val>
          <c:extLst>
            <c:ext xmlns:c16="http://schemas.microsoft.com/office/drawing/2014/chart" uri="{C3380CC4-5D6E-409C-BE32-E72D297353CC}">
              <c16:uniqueId val="{00000001-3615-4A4C-A425-8A1B7930A4DE}"/>
            </c:ext>
          </c:extLst>
        </c:ser>
        <c:ser>
          <c:idx val="0"/>
          <c:order val="2"/>
          <c:tx>
            <c:v>TOPCon (without ESG)</c:v>
          </c:tx>
          <c:spPr>
            <a:solidFill>
              <a:schemeClr val="accent1"/>
            </a:solidFill>
            <a:ln>
              <a:noFill/>
            </a:ln>
            <a:effectLst/>
          </c:spPr>
          <c:invertIfNegative val="0"/>
          <c:cat>
            <c:numRef>
              <c:f>'Cost Model_Calculations'!$I$190:$N$190</c:f>
              <c:numCache>
                <c:formatCode>General</c:formatCode>
                <c:ptCount val="6"/>
                <c:pt idx="0">
                  <c:v>2025</c:v>
                </c:pt>
                <c:pt idx="1">
                  <c:v>2026</c:v>
                </c:pt>
                <c:pt idx="2">
                  <c:v>2027</c:v>
                </c:pt>
                <c:pt idx="3">
                  <c:v>2028</c:v>
                </c:pt>
                <c:pt idx="4">
                  <c:v>2029</c:v>
                </c:pt>
                <c:pt idx="5">
                  <c:v>2030</c:v>
                </c:pt>
              </c:numCache>
            </c:numRef>
          </c:cat>
          <c:val>
            <c:numRef>
              <c:f>'Cost Model_Calculations'!$I$95:$N$95</c:f>
              <c:numCache>
                <c:formatCode>0.000</c:formatCode>
                <c:ptCount val="6"/>
                <c:pt idx="0">
                  <c:v>0.25397789922252267</c:v>
                </c:pt>
                <c:pt idx="1">
                  <c:v>0.24977243203661975</c:v>
                </c:pt>
                <c:pt idx="2">
                  <c:v>0.24890179891643499</c:v>
                </c:pt>
                <c:pt idx="3">
                  <c:v>0.24728187148013125</c:v>
                </c:pt>
                <c:pt idx="4">
                  <c:v>0.24477658277724107</c:v>
                </c:pt>
                <c:pt idx="5">
                  <c:v>0.24250746517588556</c:v>
                </c:pt>
              </c:numCache>
            </c:numRef>
          </c:val>
          <c:extLst>
            <c:ext xmlns:c16="http://schemas.microsoft.com/office/drawing/2014/chart" uri="{C3380CC4-5D6E-409C-BE32-E72D297353CC}">
              <c16:uniqueId val="{00000000-0F7D-4AEB-B441-D941A2117BD0}"/>
            </c:ext>
          </c:extLst>
        </c:ser>
        <c:ser>
          <c:idx val="2"/>
          <c:order val="3"/>
          <c:tx>
            <c:v>TOPCon (with ESG)</c:v>
          </c:tx>
          <c:spPr>
            <a:solidFill>
              <a:schemeClr val="accent3"/>
            </a:solidFill>
            <a:ln>
              <a:noFill/>
            </a:ln>
            <a:effectLst/>
          </c:spPr>
          <c:invertIfNegative val="0"/>
          <c:val>
            <c:numRef>
              <c:f>'Cost Model_Calculations'!$I$96:$N$96</c:f>
              <c:numCache>
                <c:formatCode>0.000</c:formatCode>
                <c:ptCount val="6"/>
                <c:pt idx="0">
                  <c:v>0.25637789922252269</c:v>
                </c:pt>
                <c:pt idx="1">
                  <c:v>0.25217243203661976</c:v>
                </c:pt>
                <c:pt idx="2">
                  <c:v>0.251301798916435</c:v>
                </c:pt>
                <c:pt idx="3">
                  <c:v>0.25088187148013125</c:v>
                </c:pt>
                <c:pt idx="4">
                  <c:v>0.24837658277724106</c:v>
                </c:pt>
                <c:pt idx="5">
                  <c:v>0.24610746517588555</c:v>
                </c:pt>
              </c:numCache>
            </c:numRef>
          </c:val>
          <c:extLst>
            <c:ext xmlns:c16="http://schemas.microsoft.com/office/drawing/2014/chart" uri="{C3380CC4-5D6E-409C-BE32-E72D297353CC}">
              <c16:uniqueId val="{00000000-3615-4A4C-A425-8A1B7930A4DE}"/>
            </c:ext>
          </c:extLst>
        </c:ser>
        <c:dLbls>
          <c:showLegendKey val="0"/>
          <c:showVal val="0"/>
          <c:showCatName val="0"/>
          <c:showSerName val="0"/>
          <c:showPercent val="0"/>
          <c:showBubbleSize val="0"/>
        </c:dLbls>
        <c:gapWidth val="150"/>
        <c:axId val="609864911"/>
        <c:axId val="609866831"/>
      </c:barChart>
      <c:catAx>
        <c:axId val="609864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09866831"/>
        <c:crosses val="autoZero"/>
        <c:auto val="1"/>
        <c:lblAlgn val="ctr"/>
        <c:lblOffset val="100"/>
        <c:noMultiLvlLbl val="0"/>
      </c:catAx>
      <c:valAx>
        <c:axId val="609866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(USD/Wp)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0986491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Domestic Polysilicon Costs - TOPCon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'Cost Model_Calculations'!$B$14:$C$14</c:f>
              <c:strCache>
                <c:ptCount val="2"/>
                <c:pt idx="0">
                  <c:v>Overheads</c:v>
                </c:pt>
                <c:pt idx="1">
                  <c:v>USD/kg</c:v>
                </c:pt>
              </c:strCache>
            </c:strRef>
          </c:tx>
          <c:spPr>
            <a:solidFill>
              <a:schemeClr val="accent1"/>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Model_Calculations'!$D$14:$N$14</c15:sqref>
                  </c15:fullRef>
                </c:ext>
              </c:extLst>
              <c:f>('Cost Model_Calculations'!$I$14,'Cost Model_Calculations'!$N$14)</c:f>
              <c:numCache>
                <c:formatCode>0.00</c:formatCode>
                <c:ptCount val="2"/>
                <c:pt idx="0">
                  <c:v>1.2191264999999998</c:v>
                </c:pt>
                <c:pt idx="1">
                  <c:v>1.1845575000000002</c:v>
                </c:pt>
              </c:numCache>
            </c:numRef>
          </c:val>
          <c:extLst>
            <c:ext xmlns:c16="http://schemas.microsoft.com/office/drawing/2014/chart" uri="{C3380CC4-5D6E-409C-BE32-E72D297353CC}">
              <c16:uniqueId val="{00000013-8D1F-424D-BC5A-6AE6507C1A0B}"/>
            </c:ext>
          </c:extLst>
        </c:ser>
        <c:ser>
          <c:idx val="1"/>
          <c:order val="1"/>
          <c:tx>
            <c:strRef>
              <c:f>'Cost Model_Calculations'!$B$15:$C$15</c:f>
              <c:strCache>
                <c:ptCount val="2"/>
                <c:pt idx="0">
                  <c:v>Electricity</c:v>
                </c:pt>
                <c:pt idx="1">
                  <c:v>USD/kg</c:v>
                </c:pt>
              </c:strCache>
            </c:strRef>
          </c:tx>
          <c:spPr>
            <a:solidFill>
              <a:schemeClr val="accent2"/>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Model_Calculations'!$D$15:$N$15</c15:sqref>
                  </c15:fullRef>
                </c:ext>
              </c:extLst>
              <c:f>('Cost Model_Calculations'!$I$15,'Cost Model_Calculations'!$N$15)</c:f>
              <c:numCache>
                <c:formatCode>General</c:formatCode>
                <c:ptCount val="2"/>
                <c:pt idx="0">
                  <c:v>3.5999999999999996</c:v>
                </c:pt>
                <c:pt idx="1" formatCode="0.00">
                  <c:v>3.4019999999999997</c:v>
                </c:pt>
              </c:numCache>
            </c:numRef>
          </c:val>
          <c:extLst>
            <c:ext xmlns:c16="http://schemas.microsoft.com/office/drawing/2014/chart" uri="{C3380CC4-5D6E-409C-BE32-E72D297353CC}">
              <c16:uniqueId val="{00000014-8D1F-424D-BC5A-6AE6507C1A0B}"/>
            </c:ext>
          </c:extLst>
        </c:ser>
        <c:ser>
          <c:idx val="2"/>
          <c:order val="2"/>
          <c:tx>
            <c:strRef>
              <c:f>'Cost Model_Calculations'!$B$16:$C$16</c:f>
              <c:strCache>
                <c:ptCount val="2"/>
                <c:pt idx="0">
                  <c:v>Building and facilities</c:v>
                </c:pt>
                <c:pt idx="1">
                  <c:v>USD/kg</c:v>
                </c:pt>
              </c:strCache>
            </c:strRef>
          </c:tx>
          <c:spPr>
            <a:solidFill>
              <a:schemeClr val="accent3"/>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Model_Calculations'!$D$16:$N$16</c15:sqref>
                  </c15:fullRef>
                </c:ext>
              </c:extLst>
              <c:f>('Cost Model_Calculations'!$I$16,'Cost Model_Calculations'!$N$16)</c:f>
              <c:numCache>
                <c:formatCode>General</c:formatCode>
                <c:ptCount val="2"/>
                <c:pt idx="0">
                  <c:v>0.35</c:v>
                </c:pt>
                <c:pt idx="1">
                  <c:v>0.35</c:v>
                </c:pt>
              </c:numCache>
            </c:numRef>
          </c:val>
          <c:extLst>
            <c:ext xmlns:c16="http://schemas.microsoft.com/office/drawing/2014/chart" uri="{C3380CC4-5D6E-409C-BE32-E72D297353CC}">
              <c16:uniqueId val="{00000015-8D1F-424D-BC5A-6AE6507C1A0B}"/>
            </c:ext>
          </c:extLst>
        </c:ser>
        <c:ser>
          <c:idx val="3"/>
          <c:order val="3"/>
          <c:tx>
            <c:strRef>
              <c:f>'Cost Model_Calculations'!$B$17:$C$17</c:f>
              <c:strCache>
                <c:ptCount val="2"/>
                <c:pt idx="0">
                  <c:v>Equipment depreciation</c:v>
                </c:pt>
                <c:pt idx="1">
                  <c:v>USD/kg</c:v>
                </c:pt>
              </c:strCache>
            </c:strRef>
          </c:tx>
          <c:spPr>
            <a:solidFill>
              <a:schemeClr val="accent4"/>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Model_Calculations'!$D$17:$N$17</c15:sqref>
                  </c15:fullRef>
                </c:ext>
              </c:extLst>
              <c:f>('Cost Model_Calculations'!$I$17,'Cost Model_Calculations'!$N$17)</c:f>
              <c:numCache>
                <c:formatCode>General</c:formatCode>
                <c:ptCount val="2"/>
                <c:pt idx="0">
                  <c:v>2</c:v>
                </c:pt>
                <c:pt idx="1">
                  <c:v>2</c:v>
                </c:pt>
              </c:numCache>
            </c:numRef>
          </c:val>
          <c:extLst>
            <c:ext xmlns:c16="http://schemas.microsoft.com/office/drawing/2014/chart" uri="{C3380CC4-5D6E-409C-BE32-E72D297353CC}">
              <c16:uniqueId val="{00000017-8D1F-424D-BC5A-6AE6507C1A0B}"/>
            </c:ext>
          </c:extLst>
        </c:ser>
        <c:ser>
          <c:idx val="4"/>
          <c:order val="4"/>
          <c:tx>
            <c:strRef>
              <c:f>'Cost Model_Calculations'!$B$18:$C$18</c:f>
              <c:strCache>
                <c:ptCount val="2"/>
                <c:pt idx="0">
                  <c:v>Maintenance</c:v>
                </c:pt>
                <c:pt idx="1">
                  <c:v>USD/kg</c:v>
                </c:pt>
              </c:strCache>
            </c:strRef>
          </c:tx>
          <c:spPr>
            <a:solidFill>
              <a:schemeClr val="accent5"/>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Model_Calculations'!$D$18:$N$18</c15:sqref>
                  </c15:fullRef>
                </c:ext>
              </c:extLst>
              <c:f>('Cost Model_Calculations'!$I$18,'Cost Model_Calculations'!$N$18)</c:f>
              <c:numCache>
                <c:formatCode>General</c:formatCode>
                <c:ptCount val="2"/>
                <c:pt idx="0">
                  <c:v>1.08</c:v>
                </c:pt>
                <c:pt idx="1">
                  <c:v>1.08</c:v>
                </c:pt>
              </c:numCache>
            </c:numRef>
          </c:val>
          <c:extLst>
            <c:ext xmlns:c16="http://schemas.microsoft.com/office/drawing/2014/chart" uri="{C3380CC4-5D6E-409C-BE32-E72D297353CC}">
              <c16:uniqueId val="{00000018-8D1F-424D-BC5A-6AE6507C1A0B}"/>
            </c:ext>
          </c:extLst>
        </c:ser>
        <c:ser>
          <c:idx val="5"/>
          <c:order val="5"/>
          <c:tx>
            <c:strRef>
              <c:f>'Cost Model_Calculations'!$B$19:$C$19</c:f>
              <c:strCache>
                <c:ptCount val="2"/>
                <c:pt idx="0">
                  <c:v>Labour</c:v>
                </c:pt>
                <c:pt idx="1">
                  <c:v>USD/kg</c:v>
                </c:pt>
              </c:strCache>
            </c:strRef>
          </c:tx>
          <c:spPr>
            <a:solidFill>
              <a:schemeClr val="accent6"/>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Model_Calculations'!$D$19:$N$19</c15:sqref>
                  </c15:fullRef>
                </c:ext>
              </c:extLst>
              <c:f>('Cost Model_Calculations'!$I$19,'Cost Model_Calculations'!$N$19)</c:f>
              <c:numCache>
                <c:formatCode>0.00</c:formatCode>
                <c:ptCount val="2"/>
                <c:pt idx="0">
                  <c:v>1.407</c:v>
                </c:pt>
                <c:pt idx="1" formatCode="General">
                  <c:v>1.407</c:v>
                </c:pt>
              </c:numCache>
            </c:numRef>
          </c:val>
          <c:extLst>
            <c:ext xmlns:c16="http://schemas.microsoft.com/office/drawing/2014/chart" uri="{C3380CC4-5D6E-409C-BE32-E72D297353CC}">
              <c16:uniqueId val="{00000019-8D1F-424D-BC5A-6AE6507C1A0B}"/>
            </c:ext>
          </c:extLst>
        </c:ser>
        <c:ser>
          <c:idx val="6"/>
          <c:order val="6"/>
          <c:tx>
            <c:strRef>
              <c:f>'Cost Model_Calculations'!$B$20:$C$20</c:f>
              <c:strCache>
                <c:ptCount val="2"/>
                <c:pt idx="0">
                  <c:v>Materials</c:v>
                </c:pt>
                <c:pt idx="1">
                  <c:v>USD/kg</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Model_Calculations'!$D$20:$N$20</c15:sqref>
                  </c15:fullRef>
                </c:ext>
              </c:extLst>
              <c:f>('Cost Model_Calculations'!$I$20,'Cost Model_Calculations'!$N$20)</c:f>
              <c:numCache>
                <c:formatCode>General</c:formatCode>
                <c:ptCount val="2"/>
                <c:pt idx="0">
                  <c:v>2.1419999999999999</c:v>
                </c:pt>
                <c:pt idx="1">
                  <c:v>2.0059999999999998</c:v>
                </c:pt>
              </c:numCache>
            </c:numRef>
          </c:val>
          <c:extLst>
            <c:ext xmlns:c16="http://schemas.microsoft.com/office/drawing/2014/chart" uri="{C3380CC4-5D6E-409C-BE32-E72D297353CC}">
              <c16:uniqueId val="{0000001A-8D1F-424D-BC5A-6AE6507C1A0B}"/>
            </c:ext>
          </c:extLst>
        </c:ser>
        <c:ser>
          <c:idx val="7"/>
          <c:order val="7"/>
          <c:tx>
            <c:strRef>
              <c:f>'Cost Model_Calculations'!$B$21:$C$21</c:f>
              <c:strCache>
                <c:ptCount val="2"/>
                <c:pt idx="0">
                  <c:v>Other material</c:v>
                </c:pt>
                <c:pt idx="1">
                  <c:v>USD/kg</c:v>
                </c:pt>
              </c:strCache>
            </c:strRef>
          </c:tx>
          <c:spPr>
            <a:solidFill>
              <a:schemeClr val="accent2">
                <a:lumMod val="60000"/>
              </a:schemeClr>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Model_Calculations'!$D$21:$N$21</c15:sqref>
                  </c15:fullRef>
                </c:ext>
              </c:extLst>
              <c:f>('Cost Model_Calculations'!$I$21,'Cost Model_Calculations'!$N$21)</c:f>
              <c:numCache>
                <c:formatCode>General</c:formatCode>
                <c:ptCount val="2"/>
                <c:pt idx="0">
                  <c:v>1.2</c:v>
                </c:pt>
                <c:pt idx="1">
                  <c:v>1.2</c:v>
                </c:pt>
              </c:numCache>
            </c:numRef>
          </c:val>
          <c:extLst>
            <c:ext xmlns:c16="http://schemas.microsoft.com/office/drawing/2014/chart" uri="{C3380CC4-5D6E-409C-BE32-E72D297353CC}">
              <c16:uniqueId val="{0000001B-8D1F-424D-BC5A-6AE6507C1A0B}"/>
            </c:ext>
          </c:extLst>
        </c:ser>
        <c:ser>
          <c:idx val="9"/>
          <c:order val="9"/>
          <c:tx>
            <c:strRef>
              <c:f>'Cost Model_Calculations'!$B$23:$C$23</c:f>
              <c:strCache>
                <c:ptCount val="2"/>
                <c:pt idx="0">
                  <c:v>Operating profit</c:v>
                </c:pt>
                <c:pt idx="1">
                  <c:v>USD/kg</c:v>
                </c:pt>
              </c:strCache>
            </c:strRef>
          </c:tx>
          <c:spPr>
            <a:solidFill>
              <a:schemeClr val="accent4">
                <a:lumMod val="60000"/>
              </a:schemeClr>
            </a:solidFill>
            <a:ln>
              <a:noFill/>
            </a:ln>
            <a:effectLst/>
          </c:spPr>
          <c:invertIfNegative val="0"/>
          <c:cat>
            <c:numRef>
              <c:extLst>
                <c:ext xmlns:c15="http://schemas.microsoft.com/office/drawing/2012/chart" uri="{02D57815-91ED-43cb-92C2-25804820EDAC}">
                  <c15:fullRef>
                    <c15:sqref>'Cost Model_Calculations'!$D$13:$N$13</c15:sqref>
                  </c15:fullRef>
                </c:ext>
              </c:extLst>
              <c:f>('Cost Model_Calculations'!$I$13,'Cost Model_Calculations'!$N$13)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Model_Calculations'!$D$23:$N$23</c15:sqref>
                  </c15:fullRef>
                </c:ext>
              </c:extLst>
              <c:f>('Cost Model_Calculations'!$I$23,'Cost Model_Calculations'!$N$23)</c:f>
              <c:numCache>
                <c:formatCode>0.000</c:formatCode>
                <c:ptCount val="2"/>
                <c:pt idx="0">
                  <c:v>1.7668499999999996</c:v>
                </c:pt>
                <c:pt idx="1">
                  <c:v>1.71675</c:v>
                </c:pt>
              </c:numCache>
            </c:numRef>
          </c:val>
          <c:extLst>
            <c:ext xmlns:c16="http://schemas.microsoft.com/office/drawing/2014/chart" uri="{C3380CC4-5D6E-409C-BE32-E72D297353CC}">
              <c16:uniqueId val="{00000001-F354-43D1-82F2-DDBF8335EE9D}"/>
            </c:ext>
          </c:extLst>
        </c:ser>
        <c:dLbls>
          <c:showLegendKey val="0"/>
          <c:showVal val="0"/>
          <c:showCatName val="0"/>
          <c:showSerName val="0"/>
          <c:showPercent val="0"/>
          <c:showBubbleSize val="0"/>
        </c:dLbls>
        <c:gapWidth val="55"/>
        <c:overlap val="100"/>
        <c:axId val="1270460736"/>
        <c:axId val="1270452576"/>
        <c:extLst>
          <c:ext xmlns:c15="http://schemas.microsoft.com/office/drawing/2012/chart" uri="{02D57815-91ED-43cb-92C2-25804820EDAC}">
            <c15:filteredBarSeries>
              <c15:ser>
                <c:idx val="8"/>
                <c:order val="8"/>
                <c:tx>
                  <c:strRef>
                    <c:extLst>
                      <c:ext uri="{02D57815-91ED-43cb-92C2-25804820EDAC}">
                        <c15:formulaRef>
                          <c15:sqref>'Cost Model_Calculations'!$B$22:$C$22</c15:sqref>
                        </c15:formulaRef>
                      </c:ext>
                    </c:extLst>
                    <c:strCache>
                      <c:ptCount val="2"/>
                      <c:pt idx="0">
                        <c:v>Total costs</c:v>
                      </c:pt>
                      <c:pt idx="1">
                        <c:v>USD/kg</c:v>
                      </c:pt>
                    </c:strCache>
                  </c:strRef>
                </c:tx>
                <c:spPr>
                  <a:solidFill>
                    <a:schemeClr val="accent3">
                      <a:lumMod val="60000"/>
                    </a:schemeClr>
                  </a:solidFill>
                  <a:ln>
                    <a:noFill/>
                  </a:ln>
                  <a:effectLst/>
                </c:spPr>
                <c:invertIfNegative val="0"/>
                <c:cat>
                  <c:numRef>
                    <c:extLst>
                      <c:ext uri="{02D57815-91ED-43cb-92C2-25804820EDAC}">
                        <c15:fullRef>
                          <c15:sqref>'Cost Model_Calculations'!$D$13:$N$13</c15:sqref>
                        </c15:fullRef>
                        <c15:formulaRef>
                          <c15:sqref>('Cost Model_Calculations'!$I$13,'Cost Model_Calculations'!$N$13)</c15:sqref>
                        </c15:formulaRef>
                      </c:ext>
                    </c:extLst>
                    <c:numCache>
                      <c:formatCode>General</c:formatCode>
                      <c:ptCount val="2"/>
                      <c:pt idx="0">
                        <c:v>2025</c:v>
                      </c:pt>
                      <c:pt idx="1">
                        <c:v>2030</c:v>
                      </c:pt>
                    </c:numCache>
                  </c:numRef>
                </c:cat>
                <c:val>
                  <c:numRef>
                    <c:extLst>
                      <c:ext uri="{02D57815-91ED-43cb-92C2-25804820EDAC}">
                        <c15:fullRef>
                          <c15:sqref>'Cost Model_Calculations'!$D$22:$N$22</c15:sqref>
                        </c15:fullRef>
                        <c15:formulaRef>
                          <c15:sqref>('Cost Model_Calculations'!$I$22,'Cost Model_Calculations'!$N$22)</c15:sqref>
                        </c15:formulaRef>
                      </c:ext>
                    </c:extLst>
                    <c:numCache>
                      <c:formatCode>0.000</c:formatCode>
                      <c:ptCount val="2"/>
                      <c:pt idx="0">
                        <c:v>11.778999999999998</c:v>
                      </c:pt>
                      <c:pt idx="1">
                        <c:v>11.445</c:v>
                      </c:pt>
                    </c:numCache>
                  </c:numRef>
                </c:val>
                <c:extLst>
                  <c:ext xmlns:c16="http://schemas.microsoft.com/office/drawing/2014/chart" uri="{C3380CC4-5D6E-409C-BE32-E72D297353CC}">
                    <c16:uniqueId val="{0000001C-8D1F-424D-BC5A-6AE6507C1A0B}"/>
                  </c:ext>
                </c:extLst>
              </c15:ser>
            </c15:filteredBarSeries>
          </c:ext>
        </c:extLst>
      </c:barChart>
      <c:catAx>
        <c:axId val="127046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70452576"/>
        <c:crosses val="autoZero"/>
        <c:auto val="1"/>
        <c:lblAlgn val="ctr"/>
        <c:lblOffset val="100"/>
        <c:noMultiLvlLbl val="0"/>
      </c:catAx>
      <c:valAx>
        <c:axId val="1270452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(USD/kg)</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70460736"/>
        <c:crosses val="autoZero"/>
        <c:crossBetween val="between"/>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Domestic Wafer Costs - TOPCon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'Cost Model_Calculations'!$B$38:$C$38</c:f>
              <c:strCache>
                <c:ptCount val="2"/>
                <c:pt idx="0">
                  <c:v>Overheads</c:v>
                </c:pt>
                <c:pt idx="1">
                  <c:v>USD/Wp</c:v>
                </c:pt>
              </c:strCache>
            </c:strRef>
          </c:tx>
          <c:spPr>
            <a:solidFill>
              <a:schemeClr val="accent1"/>
            </a:solidFill>
            <a:ln>
              <a:noFill/>
            </a:ln>
            <a:effectLst/>
          </c:spPr>
          <c:invertIfNegative val="0"/>
          <c:cat>
            <c:numRef>
              <c:extLst>
                <c:ext xmlns:c15="http://schemas.microsoft.com/office/drawing/2012/chart" uri="{02D57815-91ED-43cb-92C2-25804820EDAC}">
                  <c15:fullRef>
                    <c15:sqref>'Cost Model_Calculations'!$D$37:$N$37</c15:sqref>
                  </c15:fullRef>
                </c:ext>
              </c:extLst>
              <c:f>('Cost Model_Calculations'!$I$37,'Cost Model_Calculations'!$N$37)</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Model_Calculations'!$D$38:$N$38</c15:sqref>
                  </c15:fullRef>
                </c:ext>
              </c:extLst>
              <c:f>('Cost Model_Calculations'!$I$38,'Cost Model_Calculations'!$N$38)</c:f>
              <c:numCache>
                <c:formatCode>0.000</c:formatCode>
                <c:ptCount val="2"/>
                <c:pt idx="0">
                  <c:v>4.5460656197374057E-3</c:v>
                </c:pt>
                <c:pt idx="1">
                  <c:v>4.4536648886004107E-3</c:v>
                </c:pt>
              </c:numCache>
            </c:numRef>
          </c:val>
          <c:extLst>
            <c:ext xmlns:c16="http://schemas.microsoft.com/office/drawing/2014/chart" uri="{C3380CC4-5D6E-409C-BE32-E72D297353CC}">
              <c16:uniqueId val="{00000000-7E76-4E6E-94B6-7D6CD6F324CE}"/>
            </c:ext>
          </c:extLst>
        </c:ser>
        <c:ser>
          <c:idx val="1"/>
          <c:order val="1"/>
          <c:tx>
            <c:strRef>
              <c:f>'Cost Model_Calculations'!$B$39:$C$39</c:f>
              <c:strCache>
                <c:ptCount val="2"/>
                <c:pt idx="0">
                  <c:v>Electricity</c:v>
                </c:pt>
                <c:pt idx="1">
                  <c:v>USD/Wp</c:v>
                </c:pt>
              </c:strCache>
            </c:strRef>
          </c:tx>
          <c:spPr>
            <a:solidFill>
              <a:schemeClr val="accent2"/>
            </a:solidFill>
            <a:ln>
              <a:noFill/>
            </a:ln>
            <a:effectLst/>
          </c:spPr>
          <c:invertIfNegative val="0"/>
          <c:cat>
            <c:numRef>
              <c:extLst>
                <c:ext xmlns:c15="http://schemas.microsoft.com/office/drawing/2012/chart" uri="{02D57815-91ED-43cb-92C2-25804820EDAC}">
                  <c15:fullRef>
                    <c15:sqref>'Cost Model_Calculations'!$D$37:$N$37</c15:sqref>
                  </c15:fullRef>
                </c:ext>
              </c:extLst>
              <c:f>('Cost Model_Calculations'!$I$37,'Cost Model_Calculations'!$N$37)</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Model_Calculations'!$D$39:$N$39</c15:sqref>
                  </c15:fullRef>
                </c:ext>
              </c:extLst>
              <c:f>('Cost Model_Calculations'!$I$39,'Cost Model_Calculations'!$N$39)</c:f>
              <c:numCache>
                <c:formatCode>0.0000</c:formatCode>
                <c:ptCount val="2"/>
                <c:pt idx="0">
                  <c:v>8.3767164512506126E-3</c:v>
                </c:pt>
                <c:pt idx="1">
                  <c:v>7.698345610433522E-3</c:v>
                </c:pt>
              </c:numCache>
            </c:numRef>
          </c:val>
          <c:extLst>
            <c:ext xmlns:c16="http://schemas.microsoft.com/office/drawing/2014/chart" uri="{C3380CC4-5D6E-409C-BE32-E72D297353CC}">
              <c16:uniqueId val="{00000001-7E76-4E6E-94B6-7D6CD6F324CE}"/>
            </c:ext>
          </c:extLst>
        </c:ser>
        <c:ser>
          <c:idx val="2"/>
          <c:order val="2"/>
          <c:tx>
            <c:strRef>
              <c:f>'Cost Model_Calculations'!$B$40:$C$40</c:f>
              <c:strCache>
                <c:ptCount val="2"/>
                <c:pt idx="0">
                  <c:v>Building and facilities</c:v>
                </c:pt>
                <c:pt idx="1">
                  <c:v>USD/Wp</c:v>
                </c:pt>
              </c:strCache>
            </c:strRef>
          </c:tx>
          <c:spPr>
            <a:solidFill>
              <a:schemeClr val="accent3"/>
            </a:solidFill>
            <a:ln>
              <a:noFill/>
            </a:ln>
            <a:effectLst/>
          </c:spPr>
          <c:invertIfNegative val="0"/>
          <c:cat>
            <c:numRef>
              <c:extLst>
                <c:ext xmlns:c15="http://schemas.microsoft.com/office/drawing/2012/chart" uri="{02D57815-91ED-43cb-92C2-25804820EDAC}">
                  <c15:fullRef>
                    <c15:sqref>'Cost Model_Calculations'!$D$37:$N$37</c15:sqref>
                  </c15:fullRef>
                </c:ext>
              </c:extLst>
              <c:f>('Cost Model_Calculations'!$I$37,'Cost Model_Calculations'!$N$37)</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Model_Calculations'!$D$40:$N$40</c15:sqref>
                  </c15:fullRef>
                </c:ext>
              </c:extLst>
              <c:f>('Cost Model_Calculations'!$I$40,'Cost Model_Calculations'!$N$40)</c:f>
              <c:numCache>
                <c:formatCode>0.0000</c:formatCode>
                <c:ptCount val="2"/>
                <c:pt idx="0">
                  <c:v>2.7499999999999998E-3</c:v>
                </c:pt>
                <c:pt idx="1">
                  <c:v>2.7499999999999998E-3</c:v>
                </c:pt>
              </c:numCache>
            </c:numRef>
          </c:val>
          <c:extLst>
            <c:ext xmlns:c16="http://schemas.microsoft.com/office/drawing/2014/chart" uri="{C3380CC4-5D6E-409C-BE32-E72D297353CC}">
              <c16:uniqueId val="{00000002-7E76-4E6E-94B6-7D6CD6F324CE}"/>
            </c:ext>
          </c:extLst>
        </c:ser>
        <c:ser>
          <c:idx val="3"/>
          <c:order val="3"/>
          <c:tx>
            <c:strRef>
              <c:f>'Cost Model_Calculations'!$B$41:$C$41</c:f>
              <c:strCache>
                <c:ptCount val="2"/>
                <c:pt idx="0">
                  <c:v>Equipment depreciation</c:v>
                </c:pt>
                <c:pt idx="1">
                  <c:v>USD/Wp</c:v>
                </c:pt>
              </c:strCache>
            </c:strRef>
          </c:tx>
          <c:spPr>
            <a:solidFill>
              <a:schemeClr val="accent4"/>
            </a:solidFill>
            <a:ln>
              <a:noFill/>
            </a:ln>
            <a:effectLst/>
          </c:spPr>
          <c:invertIfNegative val="0"/>
          <c:cat>
            <c:numRef>
              <c:extLst>
                <c:ext xmlns:c15="http://schemas.microsoft.com/office/drawing/2012/chart" uri="{02D57815-91ED-43cb-92C2-25804820EDAC}">
                  <c15:fullRef>
                    <c15:sqref>'Cost Model_Calculations'!$D$37:$N$37</c15:sqref>
                  </c15:fullRef>
                </c:ext>
              </c:extLst>
              <c:f>('Cost Model_Calculations'!$I$37,'Cost Model_Calculations'!$N$37)</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Model_Calculations'!$D$41:$N$41</c15:sqref>
                  </c15:fullRef>
                </c:ext>
              </c:extLst>
              <c:f>('Cost Model_Calculations'!$I$41,'Cost Model_Calculations'!$N$41)</c:f>
              <c:numCache>
                <c:formatCode>0.0000</c:formatCode>
                <c:ptCount val="2"/>
                <c:pt idx="0">
                  <c:v>6.4285714285714285E-3</c:v>
                </c:pt>
                <c:pt idx="1">
                  <c:v>6.4285714285714285E-3</c:v>
                </c:pt>
              </c:numCache>
            </c:numRef>
          </c:val>
          <c:extLst>
            <c:ext xmlns:c16="http://schemas.microsoft.com/office/drawing/2014/chart" uri="{C3380CC4-5D6E-409C-BE32-E72D297353CC}">
              <c16:uniqueId val="{00000003-7E76-4E6E-94B6-7D6CD6F324CE}"/>
            </c:ext>
          </c:extLst>
        </c:ser>
        <c:ser>
          <c:idx val="4"/>
          <c:order val="4"/>
          <c:tx>
            <c:strRef>
              <c:f>'Cost Model_Calculations'!$B$42:$C$42</c:f>
              <c:strCache>
                <c:ptCount val="2"/>
                <c:pt idx="0">
                  <c:v>Maintenance</c:v>
                </c:pt>
                <c:pt idx="1">
                  <c:v>USD/Wp</c:v>
                </c:pt>
              </c:strCache>
            </c:strRef>
          </c:tx>
          <c:spPr>
            <a:solidFill>
              <a:schemeClr val="accent5"/>
            </a:solidFill>
            <a:ln>
              <a:noFill/>
            </a:ln>
            <a:effectLst/>
          </c:spPr>
          <c:invertIfNegative val="0"/>
          <c:cat>
            <c:numRef>
              <c:extLst>
                <c:ext xmlns:c15="http://schemas.microsoft.com/office/drawing/2012/chart" uri="{02D57815-91ED-43cb-92C2-25804820EDAC}">
                  <c15:fullRef>
                    <c15:sqref>'Cost Model_Calculations'!$D$37:$N$37</c15:sqref>
                  </c15:fullRef>
                </c:ext>
              </c:extLst>
              <c:f>('Cost Model_Calculations'!$I$37,'Cost Model_Calculations'!$N$37)</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Model_Calculations'!$D$42:$N$42</c15:sqref>
                  </c15:fullRef>
                </c:ext>
              </c:extLst>
              <c:f>('Cost Model_Calculations'!$I$42,'Cost Model_Calculations'!$N$42)</c:f>
              <c:numCache>
                <c:formatCode>0.000</c:formatCode>
                <c:ptCount val="2"/>
                <c:pt idx="0">
                  <c:v>4.0000000000000001E-3</c:v>
                </c:pt>
                <c:pt idx="1">
                  <c:v>4.0000000000000001E-3</c:v>
                </c:pt>
              </c:numCache>
            </c:numRef>
          </c:val>
          <c:extLst>
            <c:ext xmlns:c16="http://schemas.microsoft.com/office/drawing/2014/chart" uri="{C3380CC4-5D6E-409C-BE32-E72D297353CC}">
              <c16:uniqueId val="{00000004-7E76-4E6E-94B6-7D6CD6F324CE}"/>
            </c:ext>
          </c:extLst>
        </c:ser>
        <c:ser>
          <c:idx val="5"/>
          <c:order val="5"/>
          <c:tx>
            <c:strRef>
              <c:f>'Cost Model_Calculations'!$B$43:$C$43</c:f>
              <c:strCache>
                <c:ptCount val="2"/>
                <c:pt idx="0">
                  <c:v>Labour</c:v>
                </c:pt>
                <c:pt idx="1">
                  <c:v>USD/Wp</c:v>
                </c:pt>
              </c:strCache>
            </c:strRef>
          </c:tx>
          <c:spPr>
            <a:solidFill>
              <a:schemeClr val="accent6"/>
            </a:solidFill>
            <a:ln>
              <a:noFill/>
            </a:ln>
            <a:effectLst/>
          </c:spPr>
          <c:invertIfNegative val="0"/>
          <c:cat>
            <c:numRef>
              <c:extLst>
                <c:ext xmlns:c15="http://schemas.microsoft.com/office/drawing/2012/chart" uri="{02D57815-91ED-43cb-92C2-25804820EDAC}">
                  <c15:fullRef>
                    <c15:sqref>'Cost Model_Calculations'!$D$37:$N$37</c15:sqref>
                  </c15:fullRef>
                </c:ext>
              </c:extLst>
              <c:f>('Cost Model_Calculations'!$I$37,'Cost Model_Calculations'!$N$37)</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Model_Calculations'!$D$43:$N$43</c15:sqref>
                  </c15:fullRef>
                </c:ext>
              </c:extLst>
              <c:f>('Cost Model_Calculations'!$I$43,'Cost Model_Calculations'!$N$43)</c:f>
              <c:numCache>
                <c:formatCode>0.0000</c:formatCode>
                <c:ptCount val="2"/>
                <c:pt idx="0">
                  <c:v>1.4405000000000001E-2</c:v>
                </c:pt>
                <c:pt idx="1">
                  <c:v>1.4405000000000001E-2</c:v>
                </c:pt>
              </c:numCache>
            </c:numRef>
          </c:val>
          <c:extLst>
            <c:ext xmlns:c16="http://schemas.microsoft.com/office/drawing/2014/chart" uri="{C3380CC4-5D6E-409C-BE32-E72D297353CC}">
              <c16:uniqueId val="{00000005-7E76-4E6E-94B6-7D6CD6F324CE}"/>
            </c:ext>
          </c:extLst>
        </c:ser>
        <c:ser>
          <c:idx val="6"/>
          <c:order val="6"/>
          <c:tx>
            <c:strRef>
              <c:f>'Cost Model_Calculations'!$B$44:$C$44</c:f>
              <c:strCache>
                <c:ptCount val="2"/>
                <c:pt idx="0">
                  <c:v>Other material</c:v>
                </c:pt>
                <c:pt idx="1">
                  <c:v>USD/Wp</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'Cost Model_Calculations'!$D$37:$N$37</c15:sqref>
                  </c15:fullRef>
                </c:ext>
              </c:extLst>
              <c:f>('Cost Model_Calculations'!$I$37,'Cost Model_Calculations'!$N$37)</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Model_Calculations'!$D$44:$N$44</c15:sqref>
                  </c15:fullRef>
                </c:ext>
              </c:extLst>
              <c:f>('Cost Model_Calculations'!$I$44,'Cost Model_Calculations'!$N$44)</c:f>
              <c:numCache>
                <c:formatCode>0.0000</c:formatCode>
                <c:ptCount val="2"/>
                <c:pt idx="0">
                  <c:v>7.9630514413123101E-3</c:v>
                </c:pt>
                <c:pt idx="1">
                  <c:v>7.7486615948154404E-3</c:v>
                </c:pt>
              </c:numCache>
            </c:numRef>
          </c:val>
          <c:extLst>
            <c:ext xmlns:c16="http://schemas.microsoft.com/office/drawing/2014/chart" uri="{C3380CC4-5D6E-409C-BE32-E72D297353CC}">
              <c16:uniqueId val="{00000006-7E76-4E6E-94B6-7D6CD6F324CE}"/>
            </c:ext>
          </c:extLst>
        </c:ser>
        <c:ser>
          <c:idx val="8"/>
          <c:order val="8"/>
          <c:tx>
            <c:strRef>
              <c:f>'Cost Model_Calculations'!$B$46:$C$46</c:f>
              <c:strCache>
                <c:ptCount val="2"/>
                <c:pt idx="0">
                  <c:v>Operating profit</c:v>
                </c:pt>
                <c:pt idx="1">
                  <c:v>USD/Wp</c:v>
                </c:pt>
              </c:strCache>
            </c:strRef>
          </c:tx>
          <c:spPr>
            <a:solidFill>
              <a:schemeClr val="accent3">
                <a:lumMod val="60000"/>
              </a:schemeClr>
            </a:solidFill>
            <a:ln>
              <a:noFill/>
            </a:ln>
            <a:effectLst/>
          </c:spPr>
          <c:invertIfNegative val="0"/>
          <c:cat>
            <c:numRef>
              <c:extLst>
                <c:ext xmlns:c15="http://schemas.microsoft.com/office/drawing/2012/chart" uri="{02D57815-91ED-43cb-92C2-25804820EDAC}">
                  <c15:fullRef>
                    <c15:sqref>'Cost Model_Calculations'!$D$37:$N$37</c15:sqref>
                  </c15:fullRef>
                </c:ext>
              </c:extLst>
              <c:f>('Cost Model_Calculations'!$I$37,'Cost Model_Calculations'!$N$37)</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Model_Calculations'!$D$46:$N$46</c15:sqref>
                  </c15:fullRef>
                </c:ext>
              </c:extLst>
              <c:f>('Cost Model_Calculations'!$I$46,'Cost Model_Calculations'!$N$46)</c:f>
              <c:numCache>
                <c:formatCode>0.000</c:formatCode>
                <c:ptCount val="2"/>
                <c:pt idx="0">
                  <c:v>6.5885008981701526E-3</c:v>
                </c:pt>
                <c:pt idx="1">
                  <c:v>6.4545867950730577E-3</c:v>
                </c:pt>
              </c:numCache>
            </c:numRef>
          </c:val>
          <c:extLst>
            <c:ext xmlns:c16="http://schemas.microsoft.com/office/drawing/2014/chart" uri="{C3380CC4-5D6E-409C-BE32-E72D297353CC}">
              <c16:uniqueId val="{00000001-6B39-468F-97AE-5CDC37B3585E}"/>
            </c:ext>
          </c:extLst>
        </c:ser>
        <c:dLbls>
          <c:showLegendKey val="0"/>
          <c:showVal val="0"/>
          <c:showCatName val="0"/>
          <c:showSerName val="0"/>
          <c:showPercent val="0"/>
          <c:showBubbleSize val="0"/>
        </c:dLbls>
        <c:gapWidth val="55"/>
        <c:overlap val="100"/>
        <c:axId val="1863799840"/>
        <c:axId val="1863800800"/>
        <c:extLst>
          <c:ext xmlns:c15="http://schemas.microsoft.com/office/drawing/2012/chart" uri="{02D57815-91ED-43cb-92C2-25804820EDAC}">
            <c15:filteredBarSeries>
              <c15:ser>
                <c:idx val="7"/>
                <c:order val="7"/>
                <c:tx>
                  <c:strRef>
                    <c:extLst>
                      <c:ext uri="{02D57815-91ED-43cb-92C2-25804820EDAC}">
                        <c15:formulaRef>
                          <c15:sqref>'Cost Model_Calculations'!$B$45:$C$45</c15:sqref>
                        </c15:formulaRef>
                      </c:ext>
                    </c:extLst>
                    <c:strCache>
                      <c:ptCount val="2"/>
                      <c:pt idx="0">
                        <c:v>Final costs</c:v>
                      </c:pt>
                      <c:pt idx="1">
                        <c:v>USD/Wp</c:v>
                      </c:pt>
                    </c:strCache>
                  </c:strRef>
                </c:tx>
                <c:spPr>
                  <a:solidFill>
                    <a:schemeClr val="accent2">
                      <a:lumMod val="60000"/>
                    </a:schemeClr>
                  </a:solidFill>
                  <a:ln>
                    <a:noFill/>
                  </a:ln>
                  <a:effectLst/>
                </c:spPr>
                <c:invertIfNegative val="0"/>
                <c:cat>
                  <c:numRef>
                    <c:extLst>
                      <c:ext uri="{02D57815-91ED-43cb-92C2-25804820EDAC}">
                        <c15:fullRef>
                          <c15:sqref>'Cost Model_Calculations'!$D$37:$N$37</c15:sqref>
                        </c15:fullRef>
                        <c15:formulaRef>
                          <c15:sqref>('Cost Model_Calculations'!$I$37,'Cost Model_Calculations'!$N$37)</c15:sqref>
                        </c15:formulaRef>
                      </c:ext>
                    </c:extLst>
                    <c:numCache>
                      <c:formatCode>General</c:formatCode>
                      <c:ptCount val="2"/>
                      <c:pt idx="0">
                        <c:v>2025</c:v>
                      </c:pt>
                      <c:pt idx="1">
                        <c:v>2030</c:v>
                      </c:pt>
                    </c:numCache>
                  </c:numRef>
                </c:cat>
                <c:val>
                  <c:numRef>
                    <c:extLst>
                      <c:ext uri="{02D57815-91ED-43cb-92C2-25804820EDAC}">
                        <c15:fullRef>
                          <c15:sqref>'Cost Model_Calculations'!$D$45:$N$45</c15:sqref>
                        </c15:fullRef>
                        <c15:formulaRef>
                          <c15:sqref>('Cost Model_Calculations'!$I$45,'Cost Model_Calculations'!$N$45)</c15:sqref>
                        </c15:formulaRef>
                      </c:ext>
                    </c:extLst>
                    <c:numCache>
                      <c:formatCode>0.000</c:formatCode>
                      <c:ptCount val="2"/>
                      <c:pt idx="0">
                        <c:v>4.3923339321134354E-2</c:v>
                      </c:pt>
                      <c:pt idx="1">
                        <c:v>4.3030578633820385E-2</c:v>
                      </c:pt>
                    </c:numCache>
                  </c:numRef>
                </c:val>
                <c:extLst>
                  <c:ext xmlns:c16="http://schemas.microsoft.com/office/drawing/2014/chart" uri="{C3380CC4-5D6E-409C-BE32-E72D297353CC}">
                    <c16:uniqueId val="{00000000-6B39-468F-97AE-5CDC37B3585E}"/>
                  </c:ext>
                </c:extLst>
              </c15:ser>
            </c15:filteredBarSeries>
          </c:ext>
        </c:extLst>
      </c:barChart>
      <c:catAx>
        <c:axId val="186379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3800800"/>
        <c:crosses val="autoZero"/>
        <c:auto val="1"/>
        <c:lblAlgn val="ctr"/>
        <c:lblOffset val="100"/>
        <c:noMultiLvlLbl val="0"/>
      </c:catAx>
      <c:valAx>
        <c:axId val="186380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(USD/Wp)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3799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Domestic Cell Costs - TOPCon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'Cost Model_Calculations'!$B$59:$C$59</c:f>
              <c:strCache>
                <c:ptCount val="2"/>
                <c:pt idx="0">
                  <c:v>Overheads</c:v>
                </c:pt>
                <c:pt idx="1">
                  <c:v>USD/Wp</c:v>
                </c:pt>
              </c:strCache>
            </c:strRef>
          </c:tx>
          <c:spPr>
            <a:solidFill>
              <a:schemeClr val="accent1"/>
            </a:solidFill>
            <a:ln>
              <a:noFill/>
            </a:ln>
            <a:effectLst/>
          </c:spPr>
          <c:invertIfNegative val="0"/>
          <c:cat>
            <c:numRef>
              <c:extLst>
                <c:ext xmlns:c15="http://schemas.microsoft.com/office/drawing/2012/chart" uri="{02D57815-91ED-43cb-92C2-25804820EDAC}">
                  <c15:fullRef>
                    <c15:sqref>'Cost Model_Calculations'!$D$58:$N$58</c15:sqref>
                  </c15:fullRef>
                </c:ext>
              </c:extLst>
              <c:f>('Cost Model_Calculations'!$I$58,'Cost Model_Calculations'!$N$58)</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Model_Calculations'!$D$59:$N$59</c15:sqref>
                  </c15:fullRef>
                </c:ext>
              </c:extLst>
              <c:f>('Cost Model_Calculations'!$I$59,'Cost Model_Calculations'!$N$59)</c:f>
              <c:numCache>
                <c:formatCode>0.0000</c:formatCode>
                <c:ptCount val="2"/>
                <c:pt idx="0">
                  <c:v>5.2818530972598837E-3</c:v>
                </c:pt>
                <c:pt idx="1">
                  <c:v>4.7699633133075721E-3</c:v>
                </c:pt>
              </c:numCache>
            </c:numRef>
          </c:val>
          <c:extLst>
            <c:ext xmlns:c16="http://schemas.microsoft.com/office/drawing/2014/chart" uri="{C3380CC4-5D6E-409C-BE32-E72D297353CC}">
              <c16:uniqueId val="{00000000-6C9B-465C-B0ED-9423CFB543BE}"/>
            </c:ext>
          </c:extLst>
        </c:ser>
        <c:ser>
          <c:idx val="1"/>
          <c:order val="1"/>
          <c:tx>
            <c:strRef>
              <c:f>'Cost Model_Calculations'!$B$60:$C$60</c:f>
              <c:strCache>
                <c:ptCount val="2"/>
                <c:pt idx="0">
                  <c:v>Electricity</c:v>
                </c:pt>
                <c:pt idx="1">
                  <c:v>USD/Wp</c:v>
                </c:pt>
              </c:strCache>
            </c:strRef>
          </c:tx>
          <c:spPr>
            <a:solidFill>
              <a:schemeClr val="accent2"/>
            </a:solidFill>
            <a:ln>
              <a:noFill/>
            </a:ln>
            <a:effectLst/>
          </c:spPr>
          <c:invertIfNegative val="0"/>
          <c:cat>
            <c:numRef>
              <c:extLst>
                <c:ext xmlns:c15="http://schemas.microsoft.com/office/drawing/2012/chart" uri="{02D57815-91ED-43cb-92C2-25804820EDAC}">
                  <c15:fullRef>
                    <c15:sqref>'Cost Model_Calculations'!$D$58:$N$58</c15:sqref>
                  </c15:fullRef>
                </c:ext>
              </c:extLst>
              <c:f>('Cost Model_Calculations'!$I$58,'Cost Model_Calculations'!$N$58)</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Model_Calculations'!$D$60:$N$60</c15:sqref>
                  </c15:fullRef>
                </c:ext>
              </c:extLst>
              <c:f>('Cost Model_Calculations'!$I$60,'Cost Model_Calculations'!$N$60)</c:f>
              <c:numCache>
                <c:formatCode>0.0000</c:formatCode>
                <c:ptCount val="2"/>
                <c:pt idx="0">
                  <c:v>5.0400000000000002E-3</c:v>
                </c:pt>
                <c:pt idx="1">
                  <c:v>3.7799999999999999E-3</c:v>
                </c:pt>
              </c:numCache>
            </c:numRef>
          </c:val>
          <c:extLst>
            <c:ext xmlns:c16="http://schemas.microsoft.com/office/drawing/2014/chart" uri="{C3380CC4-5D6E-409C-BE32-E72D297353CC}">
              <c16:uniqueId val="{00000001-6C9B-465C-B0ED-9423CFB543BE}"/>
            </c:ext>
          </c:extLst>
        </c:ser>
        <c:ser>
          <c:idx val="2"/>
          <c:order val="2"/>
          <c:tx>
            <c:strRef>
              <c:f>'Cost Model_Calculations'!$B$61:$C$61</c:f>
              <c:strCache>
                <c:ptCount val="2"/>
                <c:pt idx="0">
                  <c:v>Building and facilities</c:v>
                </c:pt>
                <c:pt idx="1">
                  <c:v>USD/Wp</c:v>
                </c:pt>
              </c:strCache>
            </c:strRef>
          </c:tx>
          <c:spPr>
            <a:solidFill>
              <a:schemeClr val="accent3"/>
            </a:solidFill>
            <a:ln>
              <a:noFill/>
            </a:ln>
            <a:effectLst/>
          </c:spPr>
          <c:invertIfNegative val="0"/>
          <c:cat>
            <c:numRef>
              <c:extLst>
                <c:ext xmlns:c15="http://schemas.microsoft.com/office/drawing/2012/chart" uri="{02D57815-91ED-43cb-92C2-25804820EDAC}">
                  <c15:fullRef>
                    <c15:sqref>'Cost Model_Calculations'!$D$58:$N$58</c15:sqref>
                  </c15:fullRef>
                </c:ext>
              </c:extLst>
              <c:f>('Cost Model_Calculations'!$I$58,'Cost Model_Calculations'!$N$58)</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Model_Calculations'!$D$61:$N$61</c15:sqref>
                  </c15:fullRef>
                </c:ext>
              </c:extLst>
              <c:f>('Cost Model_Calculations'!$I$61,'Cost Model_Calculations'!$N$61)</c:f>
              <c:numCache>
                <c:formatCode>0.0000</c:formatCode>
                <c:ptCount val="2"/>
                <c:pt idx="0">
                  <c:v>2.5000000000000001E-3</c:v>
                </c:pt>
                <c:pt idx="1">
                  <c:v>2.5000000000000001E-3</c:v>
                </c:pt>
              </c:numCache>
            </c:numRef>
          </c:val>
          <c:extLst>
            <c:ext xmlns:c16="http://schemas.microsoft.com/office/drawing/2014/chart" uri="{C3380CC4-5D6E-409C-BE32-E72D297353CC}">
              <c16:uniqueId val="{00000002-6C9B-465C-B0ED-9423CFB543BE}"/>
            </c:ext>
          </c:extLst>
        </c:ser>
        <c:ser>
          <c:idx val="3"/>
          <c:order val="3"/>
          <c:tx>
            <c:strRef>
              <c:f>'Cost Model_Calculations'!$B$62:$C$62</c:f>
              <c:strCache>
                <c:ptCount val="2"/>
                <c:pt idx="0">
                  <c:v>Equipment depreciation</c:v>
                </c:pt>
                <c:pt idx="1">
                  <c:v>USD/Wp</c:v>
                </c:pt>
              </c:strCache>
            </c:strRef>
          </c:tx>
          <c:spPr>
            <a:solidFill>
              <a:schemeClr val="accent4"/>
            </a:solidFill>
            <a:ln>
              <a:noFill/>
            </a:ln>
            <a:effectLst/>
          </c:spPr>
          <c:invertIfNegative val="0"/>
          <c:cat>
            <c:numRef>
              <c:extLst>
                <c:ext xmlns:c15="http://schemas.microsoft.com/office/drawing/2012/chart" uri="{02D57815-91ED-43cb-92C2-25804820EDAC}">
                  <c15:fullRef>
                    <c15:sqref>'Cost Model_Calculations'!$D$58:$N$58</c15:sqref>
                  </c15:fullRef>
                </c:ext>
              </c:extLst>
              <c:f>('Cost Model_Calculations'!$I$58,'Cost Model_Calculations'!$N$58)</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Model_Calculations'!$D$62:$N$62</c15:sqref>
                  </c15:fullRef>
                </c:ext>
              </c:extLst>
              <c:f>('Cost Model_Calculations'!$I$62,'Cost Model_Calculations'!$N$62)</c:f>
              <c:numCache>
                <c:formatCode>0.0000</c:formatCode>
                <c:ptCount val="2"/>
                <c:pt idx="0">
                  <c:v>0.01</c:v>
                </c:pt>
                <c:pt idx="1">
                  <c:v>0.01</c:v>
                </c:pt>
              </c:numCache>
            </c:numRef>
          </c:val>
          <c:extLst>
            <c:ext xmlns:c16="http://schemas.microsoft.com/office/drawing/2014/chart" uri="{C3380CC4-5D6E-409C-BE32-E72D297353CC}">
              <c16:uniqueId val="{00000003-6C9B-465C-B0ED-9423CFB543BE}"/>
            </c:ext>
          </c:extLst>
        </c:ser>
        <c:ser>
          <c:idx val="4"/>
          <c:order val="4"/>
          <c:tx>
            <c:strRef>
              <c:f>'Cost Model_Calculations'!$B$63:$C$63</c:f>
              <c:strCache>
                <c:ptCount val="2"/>
                <c:pt idx="0">
                  <c:v>Maintenance</c:v>
                </c:pt>
                <c:pt idx="1">
                  <c:v>USD/Wp</c:v>
                </c:pt>
              </c:strCache>
            </c:strRef>
          </c:tx>
          <c:spPr>
            <a:solidFill>
              <a:schemeClr val="accent5"/>
            </a:solidFill>
            <a:ln>
              <a:noFill/>
            </a:ln>
            <a:effectLst/>
          </c:spPr>
          <c:invertIfNegative val="0"/>
          <c:cat>
            <c:numRef>
              <c:extLst>
                <c:ext xmlns:c15="http://schemas.microsoft.com/office/drawing/2012/chart" uri="{02D57815-91ED-43cb-92C2-25804820EDAC}">
                  <c15:fullRef>
                    <c15:sqref>'Cost Model_Calculations'!$D$58:$N$58</c15:sqref>
                  </c15:fullRef>
                </c:ext>
              </c:extLst>
              <c:f>('Cost Model_Calculations'!$I$58,'Cost Model_Calculations'!$N$58)</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Model_Calculations'!$D$63:$N$63</c15:sqref>
                  </c15:fullRef>
                </c:ext>
              </c:extLst>
              <c:f>('Cost Model_Calculations'!$I$63,'Cost Model_Calculations'!$N$63)</c:f>
              <c:numCache>
                <c:formatCode>0.000</c:formatCode>
                <c:ptCount val="2"/>
                <c:pt idx="0">
                  <c:v>4.0000000000000001E-3</c:v>
                </c:pt>
                <c:pt idx="1">
                  <c:v>4.0000000000000001E-3</c:v>
                </c:pt>
              </c:numCache>
            </c:numRef>
          </c:val>
          <c:extLst>
            <c:ext xmlns:c16="http://schemas.microsoft.com/office/drawing/2014/chart" uri="{C3380CC4-5D6E-409C-BE32-E72D297353CC}">
              <c16:uniqueId val="{00000004-6C9B-465C-B0ED-9423CFB543BE}"/>
            </c:ext>
          </c:extLst>
        </c:ser>
        <c:ser>
          <c:idx val="5"/>
          <c:order val="5"/>
          <c:tx>
            <c:strRef>
              <c:f>'Cost Model_Calculations'!$B$64:$C$64</c:f>
              <c:strCache>
                <c:ptCount val="2"/>
                <c:pt idx="0">
                  <c:v>Labour</c:v>
                </c:pt>
                <c:pt idx="1">
                  <c:v>USD/Wp</c:v>
                </c:pt>
              </c:strCache>
            </c:strRef>
          </c:tx>
          <c:spPr>
            <a:solidFill>
              <a:schemeClr val="accent6"/>
            </a:solidFill>
            <a:ln>
              <a:noFill/>
            </a:ln>
            <a:effectLst/>
          </c:spPr>
          <c:invertIfNegative val="0"/>
          <c:cat>
            <c:numRef>
              <c:extLst>
                <c:ext xmlns:c15="http://schemas.microsoft.com/office/drawing/2012/chart" uri="{02D57815-91ED-43cb-92C2-25804820EDAC}">
                  <c15:fullRef>
                    <c15:sqref>'Cost Model_Calculations'!$D$58:$N$58</c15:sqref>
                  </c15:fullRef>
                </c:ext>
              </c:extLst>
              <c:f>('Cost Model_Calculations'!$I$58,'Cost Model_Calculations'!$N$58)</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Model_Calculations'!$D$64:$N$64</c15:sqref>
                  </c15:fullRef>
                </c:ext>
              </c:extLst>
              <c:f>('Cost Model_Calculations'!$I$64,'Cost Model_Calculations'!$N$64)</c:f>
              <c:numCache>
                <c:formatCode>0.0000</c:formatCode>
                <c:ptCount val="2"/>
                <c:pt idx="0">
                  <c:v>1.4405000000000001E-2</c:v>
                </c:pt>
                <c:pt idx="1">
                  <c:v>1.4405000000000001E-2</c:v>
                </c:pt>
              </c:numCache>
            </c:numRef>
          </c:val>
          <c:extLst>
            <c:ext xmlns:c16="http://schemas.microsoft.com/office/drawing/2014/chart" uri="{C3380CC4-5D6E-409C-BE32-E72D297353CC}">
              <c16:uniqueId val="{00000005-6C9B-465C-B0ED-9423CFB543BE}"/>
            </c:ext>
          </c:extLst>
        </c:ser>
        <c:ser>
          <c:idx val="6"/>
          <c:order val="6"/>
          <c:tx>
            <c:strRef>
              <c:f>'Cost Model_Calculations'!$B$65:$C$65</c:f>
              <c:strCache>
                <c:ptCount val="2"/>
                <c:pt idx="0">
                  <c:v>Other material including silver</c:v>
                </c:pt>
                <c:pt idx="1">
                  <c:v>USD/Wp</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'Cost Model_Calculations'!$D$58:$N$58</c15:sqref>
                  </c15:fullRef>
                </c:ext>
              </c:extLst>
              <c:f>('Cost Model_Calculations'!$I$58,'Cost Model_Calculations'!$N$58)</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Model_Calculations'!$D$65:$N$65</c15:sqref>
                  </c15:fullRef>
                </c:ext>
              </c:extLst>
              <c:f>('Cost Model_Calculations'!$I$65,'Cost Model_Calculations'!$N$65)</c:f>
              <c:numCache>
                <c:formatCode>0.000</c:formatCode>
                <c:ptCount val="2"/>
                <c:pt idx="0">
                  <c:v>1.5087397074974713E-2</c:v>
                </c:pt>
                <c:pt idx="1">
                  <c:v>1.140160206094272E-2</c:v>
                </c:pt>
              </c:numCache>
            </c:numRef>
          </c:val>
          <c:extLst>
            <c:ext xmlns:c16="http://schemas.microsoft.com/office/drawing/2014/chart" uri="{C3380CC4-5D6E-409C-BE32-E72D297353CC}">
              <c16:uniqueId val="{00000006-6C9B-465C-B0ED-9423CFB543BE}"/>
            </c:ext>
          </c:extLst>
        </c:ser>
        <c:ser>
          <c:idx val="8"/>
          <c:order val="8"/>
          <c:tx>
            <c:strRef>
              <c:f>'Cost Model_Calculations'!$B$67:$C$67</c:f>
              <c:strCache>
                <c:ptCount val="2"/>
                <c:pt idx="0">
                  <c:v>Operating profit</c:v>
                </c:pt>
                <c:pt idx="1">
                  <c:v>USD/Wp</c:v>
                </c:pt>
              </c:strCache>
            </c:strRef>
          </c:tx>
          <c:spPr>
            <a:solidFill>
              <a:schemeClr val="accent3">
                <a:lumMod val="60000"/>
              </a:schemeClr>
            </a:solidFill>
            <a:ln>
              <a:noFill/>
            </a:ln>
            <a:effectLst/>
          </c:spPr>
          <c:invertIfNegative val="0"/>
          <c:cat>
            <c:numRef>
              <c:extLst>
                <c:ext xmlns:c15="http://schemas.microsoft.com/office/drawing/2012/chart" uri="{02D57815-91ED-43cb-92C2-25804820EDAC}">
                  <c15:fullRef>
                    <c15:sqref>'Cost Model_Calculations'!$D$58:$N$58</c15:sqref>
                  </c15:fullRef>
                </c:ext>
              </c:extLst>
              <c:f>('Cost Model_Calculations'!$I$58,'Cost Model_Calculations'!$N$58)</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Model_Calculations'!$D$67:$N$67</c15:sqref>
                  </c15:fullRef>
                </c:ext>
              </c:extLst>
              <c:f>('Cost Model_Calculations'!$I$67,'Cost Model_Calculations'!$N$67)</c:f>
              <c:numCache>
                <c:formatCode>0.000</c:formatCode>
                <c:ptCount val="2"/>
                <c:pt idx="0">
                  <c:v>7.6548595612462066E-3</c:v>
                </c:pt>
                <c:pt idx="1">
                  <c:v>6.9129903091414077E-3</c:v>
                </c:pt>
              </c:numCache>
            </c:numRef>
          </c:val>
          <c:extLst>
            <c:ext xmlns:c16="http://schemas.microsoft.com/office/drawing/2014/chart" uri="{C3380CC4-5D6E-409C-BE32-E72D297353CC}">
              <c16:uniqueId val="{00000001-650E-4972-9980-616953B297AD}"/>
            </c:ext>
          </c:extLst>
        </c:ser>
        <c:dLbls>
          <c:showLegendKey val="0"/>
          <c:showVal val="0"/>
          <c:showCatName val="0"/>
          <c:showSerName val="0"/>
          <c:showPercent val="0"/>
          <c:showBubbleSize val="0"/>
        </c:dLbls>
        <c:gapWidth val="55"/>
        <c:overlap val="100"/>
        <c:axId val="2005885216"/>
        <c:axId val="1994921632"/>
        <c:extLst>
          <c:ext xmlns:c15="http://schemas.microsoft.com/office/drawing/2012/chart" uri="{02D57815-91ED-43cb-92C2-25804820EDAC}">
            <c15:filteredBarSeries>
              <c15:ser>
                <c:idx val="7"/>
                <c:order val="7"/>
                <c:tx>
                  <c:strRef>
                    <c:extLst>
                      <c:ext uri="{02D57815-91ED-43cb-92C2-25804820EDAC}">
                        <c15:formulaRef>
                          <c15:sqref>'Cost Model_Calculations'!$B$66:$C$66</c15:sqref>
                        </c15:formulaRef>
                      </c:ext>
                    </c:extLst>
                    <c:strCache>
                      <c:ptCount val="2"/>
                      <c:pt idx="0">
                        <c:v>Final costs</c:v>
                      </c:pt>
                      <c:pt idx="1">
                        <c:v>USD/Wp</c:v>
                      </c:pt>
                    </c:strCache>
                  </c:strRef>
                </c:tx>
                <c:spPr>
                  <a:solidFill>
                    <a:schemeClr val="accent2">
                      <a:lumMod val="60000"/>
                    </a:schemeClr>
                  </a:solidFill>
                  <a:ln>
                    <a:noFill/>
                  </a:ln>
                  <a:effectLst/>
                </c:spPr>
                <c:invertIfNegative val="0"/>
                <c:cat>
                  <c:numRef>
                    <c:extLst>
                      <c:ext uri="{02D57815-91ED-43cb-92C2-25804820EDAC}">
                        <c15:fullRef>
                          <c15:sqref>'Cost Model_Calculations'!$D$58:$N$58</c15:sqref>
                        </c15:fullRef>
                        <c15:formulaRef>
                          <c15:sqref>('Cost Model_Calculations'!$I$58,'Cost Model_Calculations'!$N$58)</c15:sqref>
                        </c15:formulaRef>
                      </c:ext>
                    </c:extLst>
                    <c:numCache>
                      <c:formatCode>General</c:formatCode>
                      <c:ptCount val="2"/>
                      <c:pt idx="0">
                        <c:v>2025</c:v>
                      </c:pt>
                      <c:pt idx="1">
                        <c:v>2030</c:v>
                      </c:pt>
                    </c:numCache>
                  </c:numRef>
                </c:cat>
                <c:val>
                  <c:numRef>
                    <c:extLst>
                      <c:ext uri="{02D57815-91ED-43cb-92C2-25804820EDAC}">
                        <c15:fullRef>
                          <c15:sqref>'Cost Model_Calculations'!$D$66:$N$66</c15:sqref>
                        </c15:fullRef>
                        <c15:formulaRef>
                          <c15:sqref>('Cost Model_Calculations'!$I$66,'Cost Model_Calculations'!$N$66)</c15:sqref>
                        </c15:formulaRef>
                      </c:ext>
                    </c:extLst>
                    <c:numCache>
                      <c:formatCode>0.000</c:formatCode>
                      <c:ptCount val="2"/>
                      <c:pt idx="0">
                        <c:v>5.1032397074974714E-2</c:v>
                      </c:pt>
                      <c:pt idx="1">
                        <c:v>4.608660206094272E-2</c:v>
                      </c:pt>
                    </c:numCache>
                  </c:numRef>
                </c:val>
                <c:extLst>
                  <c:ext xmlns:c16="http://schemas.microsoft.com/office/drawing/2014/chart" uri="{C3380CC4-5D6E-409C-BE32-E72D297353CC}">
                    <c16:uniqueId val="{00000000-650E-4972-9980-616953B297AD}"/>
                  </c:ext>
                </c:extLst>
              </c15:ser>
            </c15:filteredBarSeries>
          </c:ext>
        </c:extLst>
      </c:barChart>
      <c:catAx>
        <c:axId val="200588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94921632"/>
        <c:crosses val="autoZero"/>
        <c:auto val="1"/>
        <c:lblAlgn val="ctr"/>
        <c:lblOffset val="100"/>
        <c:noMultiLvlLbl val="0"/>
      </c:catAx>
      <c:valAx>
        <c:axId val="199492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(USD/Wp)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05885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Domestic Module Costs - TOPCon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'Cost Model_Calculations'!$B$81:$C$81</c:f>
              <c:strCache>
                <c:ptCount val="2"/>
                <c:pt idx="0">
                  <c:v>Overheads</c:v>
                </c:pt>
                <c:pt idx="1">
                  <c:v>USD/Wp</c:v>
                </c:pt>
              </c:strCache>
            </c:strRef>
          </c:tx>
          <c:spPr>
            <a:solidFill>
              <a:schemeClr val="accent1"/>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Model_Calculations'!$D$81:$N$81</c15:sqref>
                  </c15:fullRef>
                </c:ext>
              </c:extLst>
              <c:f>('Cost Model_Calculations'!$I$81,'Cost Model_Calculations'!$N$81)</c:f>
              <c:numCache>
                <c:formatCode>0.0000</c:formatCode>
                <c:ptCount val="2"/>
                <c:pt idx="0">
                  <c:v>8.7807330000000006E-3</c:v>
                </c:pt>
                <c:pt idx="1">
                  <c:v>8.8583580000000019E-3</c:v>
                </c:pt>
              </c:numCache>
            </c:numRef>
          </c:val>
          <c:extLst>
            <c:ext xmlns:c16="http://schemas.microsoft.com/office/drawing/2014/chart" uri="{C3380CC4-5D6E-409C-BE32-E72D297353CC}">
              <c16:uniqueId val="{00000000-7864-40DD-963B-C78BFBF443F3}"/>
            </c:ext>
          </c:extLst>
        </c:ser>
        <c:ser>
          <c:idx val="1"/>
          <c:order val="1"/>
          <c:tx>
            <c:strRef>
              <c:f>'Cost Model_Calculations'!$B$82:$C$82</c:f>
              <c:strCache>
                <c:ptCount val="2"/>
                <c:pt idx="0">
                  <c:v>Electricity</c:v>
                </c:pt>
                <c:pt idx="1">
                  <c:v>USD/Wp</c:v>
                </c:pt>
              </c:strCache>
            </c:strRef>
          </c:tx>
          <c:spPr>
            <a:solidFill>
              <a:schemeClr val="accent2"/>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Model_Calculations'!$D$82:$N$82</c15:sqref>
                  </c15:fullRef>
                </c:ext>
              </c:extLst>
              <c:f>('Cost Model_Calculations'!$I$82,'Cost Model_Calculations'!$N$82)</c:f>
              <c:numCache>
                <c:formatCode>0.0000</c:formatCode>
                <c:ptCount val="2"/>
                <c:pt idx="0">
                  <c:v>2.2499999999999998E-3</c:v>
                </c:pt>
                <c:pt idx="1">
                  <c:v>1.8E-3</c:v>
                </c:pt>
              </c:numCache>
            </c:numRef>
          </c:val>
          <c:extLst>
            <c:ext xmlns:c16="http://schemas.microsoft.com/office/drawing/2014/chart" uri="{C3380CC4-5D6E-409C-BE32-E72D297353CC}">
              <c16:uniqueId val="{00000001-7864-40DD-963B-C78BFBF443F3}"/>
            </c:ext>
          </c:extLst>
        </c:ser>
        <c:ser>
          <c:idx val="2"/>
          <c:order val="2"/>
          <c:tx>
            <c:strRef>
              <c:f>'Cost Model_Calculations'!$B$83:$C$83</c:f>
              <c:strCache>
                <c:ptCount val="2"/>
                <c:pt idx="0">
                  <c:v>Building and facilities</c:v>
                </c:pt>
                <c:pt idx="1">
                  <c:v>USD/Wp</c:v>
                </c:pt>
              </c:strCache>
            </c:strRef>
          </c:tx>
          <c:spPr>
            <a:solidFill>
              <a:schemeClr val="accent3"/>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Model_Calculations'!$D$83:$N$83</c15:sqref>
                  </c15:fullRef>
                </c:ext>
              </c:extLst>
              <c:f>('Cost Model_Calculations'!$I$83,'Cost Model_Calculations'!$N$83)</c:f>
              <c:numCache>
                <c:formatCode>0.0000</c:formatCode>
                <c:ptCount val="2"/>
                <c:pt idx="0">
                  <c:v>1.5E-3</c:v>
                </c:pt>
                <c:pt idx="1">
                  <c:v>1.5E-3</c:v>
                </c:pt>
              </c:numCache>
            </c:numRef>
          </c:val>
          <c:extLst>
            <c:ext xmlns:c16="http://schemas.microsoft.com/office/drawing/2014/chart" uri="{C3380CC4-5D6E-409C-BE32-E72D297353CC}">
              <c16:uniqueId val="{00000002-7864-40DD-963B-C78BFBF443F3}"/>
            </c:ext>
          </c:extLst>
        </c:ser>
        <c:ser>
          <c:idx val="3"/>
          <c:order val="3"/>
          <c:tx>
            <c:strRef>
              <c:f>'Cost Model_Calculations'!$B$84:$C$84</c:f>
              <c:strCache>
                <c:ptCount val="2"/>
                <c:pt idx="0">
                  <c:v>Equipment depreciation</c:v>
                </c:pt>
                <c:pt idx="1">
                  <c:v>USD/Wp</c:v>
                </c:pt>
              </c:strCache>
            </c:strRef>
          </c:tx>
          <c:spPr>
            <a:solidFill>
              <a:schemeClr val="accent4"/>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Model_Calculations'!$D$84:$N$84</c15:sqref>
                  </c15:fullRef>
                </c:ext>
              </c:extLst>
              <c:f>('Cost Model_Calculations'!$I$84,'Cost Model_Calculations'!$N$84)</c:f>
              <c:numCache>
                <c:formatCode>0.0000</c:formatCode>
                <c:ptCount val="2"/>
                <c:pt idx="0">
                  <c:v>4.0000000000000001E-3</c:v>
                </c:pt>
                <c:pt idx="1">
                  <c:v>4.0000000000000001E-3</c:v>
                </c:pt>
              </c:numCache>
            </c:numRef>
          </c:val>
          <c:extLst>
            <c:ext xmlns:c16="http://schemas.microsoft.com/office/drawing/2014/chart" uri="{C3380CC4-5D6E-409C-BE32-E72D297353CC}">
              <c16:uniqueId val="{00000003-7864-40DD-963B-C78BFBF443F3}"/>
            </c:ext>
          </c:extLst>
        </c:ser>
        <c:ser>
          <c:idx val="4"/>
          <c:order val="4"/>
          <c:tx>
            <c:strRef>
              <c:f>'Cost Model_Calculations'!$B$85:$C$85</c:f>
              <c:strCache>
                <c:ptCount val="2"/>
                <c:pt idx="0">
                  <c:v>Maintenance</c:v>
                </c:pt>
                <c:pt idx="1">
                  <c:v>USD/Wp</c:v>
                </c:pt>
              </c:strCache>
            </c:strRef>
          </c:tx>
          <c:spPr>
            <a:solidFill>
              <a:schemeClr val="accent5"/>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Model_Calculations'!$D$85:$N$85</c15:sqref>
                  </c15:fullRef>
                </c:ext>
              </c:extLst>
              <c:f>('Cost Model_Calculations'!$I$85,'Cost Model_Calculations'!$N$85)</c:f>
              <c:numCache>
                <c:formatCode>0.0000</c:formatCode>
                <c:ptCount val="2"/>
                <c:pt idx="0">
                  <c:v>2E-3</c:v>
                </c:pt>
                <c:pt idx="1">
                  <c:v>2E-3</c:v>
                </c:pt>
              </c:numCache>
            </c:numRef>
          </c:val>
          <c:extLst>
            <c:ext xmlns:c16="http://schemas.microsoft.com/office/drawing/2014/chart" uri="{C3380CC4-5D6E-409C-BE32-E72D297353CC}">
              <c16:uniqueId val="{00000004-7864-40DD-963B-C78BFBF443F3}"/>
            </c:ext>
          </c:extLst>
        </c:ser>
        <c:ser>
          <c:idx val="5"/>
          <c:order val="5"/>
          <c:tx>
            <c:strRef>
              <c:f>'Cost Model_Calculations'!$B$86:$C$86</c:f>
              <c:strCache>
                <c:ptCount val="2"/>
                <c:pt idx="0">
                  <c:v>Labour</c:v>
                </c:pt>
                <c:pt idx="1">
                  <c:v>USD/Wp</c:v>
                </c:pt>
              </c:strCache>
            </c:strRef>
          </c:tx>
          <c:spPr>
            <a:solidFill>
              <a:schemeClr val="accent6"/>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Model_Calculations'!$D$86:$N$86</c15:sqref>
                  </c15:fullRef>
                </c:ext>
              </c:extLst>
              <c:f>('Cost Model_Calculations'!$I$86,'Cost Model_Calculations'!$N$86)</c:f>
              <c:numCache>
                <c:formatCode>0.0000</c:formatCode>
                <c:ptCount val="2"/>
                <c:pt idx="0">
                  <c:v>1.7687999999999999E-2</c:v>
                </c:pt>
                <c:pt idx="1">
                  <c:v>1.7687999999999999E-2</c:v>
                </c:pt>
              </c:numCache>
            </c:numRef>
          </c:val>
          <c:extLst>
            <c:ext xmlns:c16="http://schemas.microsoft.com/office/drawing/2014/chart" uri="{C3380CC4-5D6E-409C-BE32-E72D297353CC}">
              <c16:uniqueId val="{00000005-7864-40DD-963B-C78BFBF443F3}"/>
            </c:ext>
          </c:extLst>
        </c:ser>
        <c:ser>
          <c:idx val="6"/>
          <c:order val="6"/>
          <c:tx>
            <c:strRef>
              <c:f>'Cost Model_Calculations'!$B$87:$C$87</c:f>
              <c:strCache>
                <c:ptCount val="2"/>
                <c:pt idx="0">
                  <c:v>Other material</c:v>
                </c:pt>
                <c:pt idx="1">
                  <c:v>USD/Wp</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Model_Calculations'!$D$87:$N$87</c15:sqref>
                  </c15:fullRef>
                </c:ext>
              </c:extLst>
              <c:f>('Cost Model_Calculations'!$I$87,'Cost Model_Calculations'!$N$87)</c:f>
              <c:numCache>
                <c:formatCode>General</c:formatCode>
                <c:ptCount val="2"/>
                <c:pt idx="0">
                  <c:v>5.5E-2</c:v>
                </c:pt>
                <c:pt idx="1">
                  <c:v>5.5E-2</c:v>
                </c:pt>
              </c:numCache>
            </c:numRef>
          </c:val>
          <c:extLst>
            <c:ext xmlns:c16="http://schemas.microsoft.com/office/drawing/2014/chart" uri="{C3380CC4-5D6E-409C-BE32-E72D297353CC}">
              <c16:uniqueId val="{00000006-7864-40DD-963B-C78BFBF443F3}"/>
            </c:ext>
          </c:extLst>
        </c:ser>
        <c:ser>
          <c:idx val="7"/>
          <c:order val="7"/>
          <c:tx>
            <c:strRef>
              <c:f>'Cost Model_Calculations'!$B$88:$C$88</c:f>
              <c:strCache>
                <c:ptCount val="2"/>
                <c:pt idx="0">
                  <c:v>ESG Certification</c:v>
                </c:pt>
                <c:pt idx="1">
                  <c:v>USD/Wp</c:v>
                </c:pt>
              </c:strCache>
            </c:strRef>
          </c:tx>
          <c:spPr>
            <a:solidFill>
              <a:schemeClr val="accent2">
                <a:lumMod val="60000"/>
              </a:schemeClr>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Model_Calculations'!$D$88:$N$88</c15:sqref>
                  </c15:fullRef>
                </c:ext>
              </c:extLst>
              <c:f>('Cost Model_Calculations'!$I$88,'Cost Model_Calculations'!$N$88)</c:f>
              <c:numCache>
                <c:formatCode>0.0000</c:formatCode>
                <c:ptCount val="2"/>
                <c:pt idx="0">
                  <c:v>2.3999999999999998E-3</c:v>
                </c:pt>
                <c:pt idx="1">
                  <c:v>3.5999999999999995E-3</c:v>
                </c:pt>
              </c:numCache>
            </c:numRef>
          </c:val>
          <c:extLst>
            <c:ext xmlns:c16="http://schemas.microsoft.com/office/drawing/2014/chart" uri="{C3380CC4-5D6E-409C-BE32-E72D297353CC}">
              <c16:uniqueId val="{00000007-7864-40DD-963B-C78BFBF443F3}"/>
            </c:ext>
          </c:extLst>
        </c:ser>
        <c:ser>
          <c:idx val="9"/>
          <c:order val="9"/>
          <c:tx>
            <c:strRef>
              <c:f>'Cost Model_Calculations'!$B$90:$C$90</c:f>
              <c:strCache>
                <c:ptCount val="2"/>
                <c:pt idx="0">
                  <c:v>Operating profit</c:v>
                </c:pt>
                <c:pt idx="1">
                  <c:v>USD/Wp</c:v>
                </c:pt>
              </c:strCache>
            </c:strRef>
          </c:tx>
          <c:spPr>
            <a:solidFill>
              <a:schemeClr val="accent4">
                <a:lumMod val="60000"/>
              </a:schemeClr>
            </a:solidFill>
            <a:ln>
              <a:noFill/>
            </a:ln>
            <a:effectLst/>
          </c:spPr>
          <c:invertIfNegative val="0"/>
          <c:cat>
            <c:numRef>
              <c:extLst>
                <c:ext xmlns:c15="http://schemas.microsoft.com/office/drawing/2012/chart" uri="{02D57815-91ED-43cb-92C2-25804820EDAC}">
                  <c15:fullRef>
                    <c15:sqref>'Cost Model_Calculations'!$D$80:$N$80</c15:sqref>
                  </c15:fullRef>
                </c:ext>
              </c:extLst>
              <c:f>('Cost Model_Calculations'!$I$80,'Cost Model_Calculations'!$N$80)</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Model_Calculations'!$D$90:$N$90</c15:sqref>
                  </c15:fullRef>
                </c:ext>
              </c:extLst>
              <c:f>('Cost Model_Calculations'!$I$90,'Cost Model_Calculations'!$N$90)</c:f>
              <c:numCache>
                <c:formatCode>0.000</c:formatCode>
                <c:ptCount val="2"/>
                <c:pt idx="0">
                  <c:v>1.27257E-2</c:v>
                </c:pt>
                <c:pt idx="1">
                  <c:v>1.2838200000000001E-2</c:v>
                </c:pt>
              </c:numCache>
            </c:numRef>
          </c:val>
          <c:extLst>
            <c:ext xmlns:c16="http://schemas.microsoft.com/office/drawing/2014/chart" uri="{C3380CC4-5D6E-409C-BE32-E72D297353CC}">
              <c16:uniqueId val="{00000001-E08C-4D9E-8BF2-6AAC06DE7492}"/>
            </c:ext>
          </c:extLst>
        </c:ser>
        <c:dLbls>
          <c:showLegendKey val="0"/>
          <c:showVal val="0"/>
          <c:showCatName val="0"/>
          <c:showSerName val="0"/>
          <c:showPercent val="0"/>
          <c:showBubbleSize val="0"/>
        </c:dLbls>
        <c:gapWidth val="55"/>
        <c:overlap val="100"/>
        <c:axId val="25247856"/>
        <c:axId val="25248336"/>
        <c:extLst>
          <c:ext xmlns:c15="http://schemas.microsoft.com/office/drawing/2012/chart" uri="{02D57815-91ED-43cb-92C2-25804820EDAC}">
            <c15:filteredBarSeries>
              <c15:ser>
                <c:idx val="8"/>
                <c:order val="8"/>
                <c:tx>
                  <c:strRef>
                    <c:extLst>
                      <c:ext uri="{02D57815-91ED-43cb-92C2-25804820EDAC}">
                        <c15:formulaRef>
                          <c15:sqref>'Cost Model_Calculations'!$B$89:$C$89</c15:sqref>
                        </c15:formulaRef>
                      </c:ext>
                    </c:extLst>
                    <c:strCache>
                      <c:ptCount val="2"/>
                      <c:pt idx="0">
                        <c:v>Final costs</c:v>
                      </c:pt>
                      <c:pt idx="1">
                        <c:v>USD/Wp</c:v>
                      </c:pt>
                    </c:strCache>
                  </c:strRef>
                </c:tx>
                <c:spPr>
                  <a:solidFill>
                    <a:schemeClr val="accent3">
                      <a:lumMod val="60000"/>
                    </a:schemeClr>
                  </a:solidFill>
                  <a:ln>
                    <a:noFill/>
                  </a:ln>
                  <a:effectLst/>
                </c:spPr>
                <c:invertIfNegative val="0"/>
                <c:cat>
                  <c:numRef>
                    <c:extLst>
                      <c:ext uri="{02D57815-91ED-43cb-92C2-25804820EDAC}">
                        <c15:fullRef>
                          <c15:sqref>'Cost Model_Calculations'!$D$80:$N$80</c15:sqref>
                        </c15:fullRef>
                        <c15:formulaRef>
                          <c15:sqref>('Cost Model_Calculations'!$I$80,'Cost Model_Calculations'!$N$80)</c15:sqref>
                        </c15:formulaRef>
                      </c:ext>
                    </c:extLst>
                    <c:numCache>
                      <c:formatCode>General</c:formatCode>
                      <c:ptCount val="2"/>
                      <c:pt idx="0">
                        <c:v>2025</c:v>
                      </c:pt>
                      <c:pt idx="1">
                        <c:v>2030</c:v>
                      </c:pt>
                    </c:numCache>
                  </c:numRef>
                </c:cat>
                <c:val>
                  <c:numRef>
                    <c:extLst>
                      <c:ext uri="{02D57815-91ED-43cb-92C2-25804820EDAC}">
                        <c15:fullRef>
                          <c15:sqref>'Cost Model_Calculations'!$D$89:$N$89</c15:sqref>
                        </c15:fullRef>
                        <c15:formulaRef>
                          <c15:sqref>('Cost Model_Calculations'!$I$89,'Cost Model_Calculations'!$N$89)</c15:sqref>
                        </c15:formulaRef>
                      </c:ext>
                    </c:extLst>
                    <c:numCache>
                      <c:formatCode>0.000</c:formatCode>
                      <c:ptCount val="2"/>
                      <c:pt idx="0">
                        <c:v>8.4837999999999997E-2</c:v>
                      </c:pt>
                      <c:pt idx="1">
                        <c:v>8.5588000000000011E-2</c:v>
                      </c:pt>
                    </c:numCache>
                  </c:numRef>
                </c:val>
                <c:extLst>
                  <c:ext xmlns:c16="http://schemas.microsoft.com/office/drawing/2014/chart" uri="{C3380CC4-5D6E-409C-BE32-E72D297353CC}">
                    <c16:uniqueId val="{00000000-E08C-4D9E-8BF2-6AAC06DE7492}"/>
                  </c:ext>
                </c:extLst>
              </c15:ser>
            </c15:filteredBarSeries>
          </c:ext>
        </c:extLst>
      </c:barChart>
      <c:catAx>
        <c:axId val="2524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5248336"/>
        <c:crosses val="autoZero"/>
        <c:auto val="1"/>
        <c:lblAlgn val="ctr"/>
        <c:lblOffset val="100"/>
        <c:noMultiLvlLbl val="0"/>
      </c:catAx>
      <c:valAx>
        <c:axId val="25248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(USD/Wp)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5247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Domestic Polysilicon Costs - Monocrystalline</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'Cost Model_Calculations'!$B$110:$C$110</c:f>
              <c:strCache>
                <c:ptCount val="2"/>
                <c:pt idx="0">
                  <c:v>Overheads</c:v>
                </c:pt>
                <c:pt idx="1">
                  <c:v>USD/kg</c:v>
                </c:pt>
              </c:strCache>
            </c:strRef>
          </c:tx>
          <c:spPr>
            <a:solidFill>
              <a:schemeClr val="accent1"/>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Model_Calculations'!$D$110:$N$110</c15:sqref>
                  </c15:fullRef>
                </c:ext>
              </c:extLst>
              <c:f>('Cost Model_Calculations'!$I$110,'Cost Model_Calculations'!$N$110)</c:f>
              <c:numCache>
                <c:formatCode>0.00</c:formatCode>
                <c:ptCount val="2"/>
                <c:pt idx="0" formatCode="General">
                  <c:v>1.2191264999999998</c:v>
                </c:pt>
                <c:pt idx="1" formatCode="General">
                  <c:v>1.1845575000000002</c:v>
                </c:pt>
              </c:numCache>
            </c:numRef>
          </c:val>
          <c:extLst>
            <c:ext xmlns:c16="http://schemas.microsoft.com/office/drawing/2014/chart" uri="{C3380CC4-5D6E-409C-BE32-E72D297353CC}">
              <c16:uniqueId val="{00000001-66AF-471A-AD37-AEB690F9A768}"/>
            </c:ext>
          </c:extLst>
        </c:ser>
        <c:ser>
          <c:idx val="1"/>
          <c:order val="1"/>
          <c:tx>
            <c:strRef>
              <c:f>'Cost Model_Calculations'!$B$111:$C$111</c:f>
              <c:strCache>
                <c:ptCount val="2"/>
                <c:pt idx="0">
                  <c:v>Electricity</c:v>
                </c:pt>
                <c:pt idx="1">
                  <c:v>USD/kg</c:v>
                </c:pt>
              </c:strCache>
            </c:strRef>
          </c:tx>
          <c:spPr>
            <a:solidFill>
              <a:schemeClr val="accent2"/>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Model_Calculations'!$D$111:$N$111</c15:sqref>
                  </c15:fullRef>
                </c:ext>
              </c:extLst>
              <c:f>('Cost Model_Calculations'!$I$111,'Cost Model_Calculations'!$N$111)</c:f>
              <c:numCache>
                <c:formatCode>General</c:formatCode>
                <c:ptCount val="2"/>
                <c:pt idx="0" formatCode="0.00">
                  <c:v>3.5999999999999996</c:v>
                </c:pt>
                <c:pt idx="1" formatCode="0.00">
                  <c:v>3.4019999999999997</c:v>
                </c:pt>
              </c:numCache>
            </c:numRef>
          </c:val>
          <c:extLst>
            <c:ext xmlns:c16="http://schemas.microsoft.com/office/drawing/2014/chart" uri="{C3380CC4-5D6E-409C-BE32-E72D297353CC}">
              <c16:uniqueId val="{00000002-66AF-471A-AD37-AEB690F9A768}"/>
            </c:ext>
          </c:extLst>
        </c:ser>
        <c:ser>
          <c:idx val="2"/>
          <c:order val="2"/>
          <c:tx>
            <c:strRef>
              <c:f>'Cost Model_Calculations'!$B$112:$C$112</c:f>
              <c:strCache>
                <c:ptCount val="2"/>
                <c:pt idx="0">
                  <c:v>Building and facilities</c:v>
                </c:pt>
                <c:pt idx="1">
                  <c:v>USD/kg</c:v>
                </c:pt>
              </c:strCache>
            </c:strRef>
          </c:tx>
          <c:spPr>
            <a:solidFill>
              <a:schemeClr val="accent3"/>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Model_Calculations'!$D$112:$N$112</c15:sqref>
                  </c15:fullRef>
                </c:ext>
              </c:extLst>
              <c:f>('Cost Model_Calculations'!$I$112,'Cost Model_Calculations'!$N$112)</c:f>
              <c:numCache>
                <c:formatCode>General</c:formatCode>
                <c:ptCount val="2"/>
                <c:pt idx="0">
                  <c:v>0.35</c:v>
                </c:pt>
                <c:pt idx="1">
                  <c:v>0.35</c:v>
                </c:pt>
              </c:numCache>
            </c:numRef>
          </c:val>
          <c:extLst>
            <c:ext xmlns:c16="http://schemas.microsoft.com/office/drawing/2014/chart" uri="{C3380CC4-5D6E-409C-BE32-E72D297353CC}">
              <c16:uniqueId val="{00000003-66AF-471A-AD37-AEB690F9A768}"/>
            </c:ext>
          </c:extLst>
        </c:ser>
        <c:ser>
          <c:idx val="3"/>
          <c:order val="3"/>
          <c:tx>
            <c:strRef>
              <c:f>'Cost Model_Calculations'!$B$113:$C$113</c:f>
              <c:strCache>
                <c:ptCount val="2"/>
                <c:pt idx="0">
                  <c:v>Equipment depreciation</c:v>
                </c:pt>
                <c:pt idx="1">
                  <c:v>USD/kg</c:v>
                </c:pt>
              </c:strCache>
            </c:strRef>
          </c:tx>
          <c:spPr>
            <a:solidFill>
              <a:schemeClr val="accent4"/>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Model_Calculations'!$D$113:$N$113</c15:sqref>
                  </c15:fullRef>
                </c:ext>
              </c:extLst>
              <c:f>('Cost Model_Calculations'!$I$113,'Cost Model_Calculations'!$N$113)</c:f>
              <c:numCache>
                <c:formatCode>General</c:formatCode>
                <c:ptCount val="2"/>
                <c:pt idx="0">
                  <c:v>2</c:v>
                </c:pt>
                <c:pt idx="1">
                  <c:v>2</c:v>
                </c:pt>
              </c:numCache>
            </c:numRef>
          </c:val>
          <c:extLst>
            <c:ext xmlns:c16="http://schemas.microsoft.com/office/drawing/2014/chart" uri="{C3380CC4-5D6E-409C-BE32-E72D297353CC}">
              <c16:uniqueId val="{00000004-66AF-471A-AD37-AEB690F9A768}"/>
            </c:ext>
          </c:extLst>
        </c:ser>
        <c:ser>
          <c:idx val="4"/>
          <c:order val="4"/>
          <c:tx>
            <c:strRef>
              <c:f>'Cost Model_Calculations'!$B$114:$C$114</c:f>
              <c:strCache>
                <c:ptCount val="2"/>
                <c:pt idx="0">
                  <c:v>Maintenance</c:v>
                </c:pt>
                <c:pt idx="1">
                  <c:v>USD/kg</c:v>
                </c:pt>
              </c:strCache>
            </c:strRef>
          </c:tx>
          <c:spPr>
            <a:solidFill>
              <a:schemeClr val="accent5"/>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Model_Calculations'!$D$114:$N$114</c15:sqref>
                  </c15:fullRef>
                </c:ext>
              </c:extLst>
              <c:f>('Cost Model_Calculations'!$I$114,'Cost Model_Calculations'!$N$114)</c:f>
              <c:numCache>
                <c:formatCode>General</c:formatCode>
                <c:ptCount val="2"/>
                <c:pt idx="0">
                  <c:v>1.08</c:v>
                </c:pt>
                <c:pt idx="1">
                  <c:v>1.08</c:v>
                </c:pt>
              </c:numCache>
            </c:numRef>
          </c:val>
          <c:extLst>
            <c:ext xmlns:c16="http://schemas.microsoft.com/office/drawing/2014/chart" uri="{C3380CC4-5D6E-409C-BE32-E72D297353CC}">
              <c16:uniqueId val="{00000005-66AF-471A-AD37-AEB690F9A768}"/>
            </c:ext>
          </c:extLst>
        </c:ser>
        <c:ser>
          <c:idx val="5"/>
          <c:order val="5"/>
          <c:tx>
            <c:strRef>
              <c:f>'Cost Model_Calculations'!$B$115:$C$115</c:f>
              <c:strCache>
                <c:ptCount val="2"/>
                <c:pt idx="0">
                  <c:v>Labour</c:v>
                </c:pt>
                <c:pt idx="1">
                  <c:v>USD/kg</c:v>
                </c:pt>
              </c:strCache>
            </c:strRef>
          </c:tx>
          <c:spPr>
            <a:solidFill>
              <a:schemeClr val="accent6"/>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Model_Calculations'!$D$115:$N$115</c15:sqref>
                  </c15:fullRef>
                </c:ext>
              </c:extLst>
              <c:f>('Cost Model_Calculations'!$I$115,'Cost Model_Calculations'!$N$115)</c:f>
              <c:numCache>
                <c:formatCode>General</c:formatCode>
                <c:ptCount val="2"/>
                <c:pt idx="0">
                  <c:v>1.407</c:v>
                </c:pt>
                <c:pt idx="1">
                  <c:v>1.407</c:v>
                </c:pt>
              </c:numCache>
            </c:numRef>
          </c:val>
          <c:extLst>
            <c:ext xmlns:c16="http://schemas.microsoft.com/office/drawing/2014/chart" uri="{C3380CC4-5D6E-409C-BE32-E72D297353CC}">
              <c16:uniqueId val="{00000006-66AF-471A-AD37-AEB690F9A768}"/>
            </c:ext>
          </c:extLst>
        </c:ser>
        <c:ser>
          <c:idx val="6"/>
          <c:order val="6"/>
          <c:tx>
            <c:strRef>
              <c:f>'Cost Model_Calculations'!$B$116:$C$116</c:f>
              <c:strCache>
                <c:ptCount val="2"/>
                <c:pt idx="0">
                  <c:v>Materials</c:v>
                </c:pt>
                <c:pt idx="1">
                  <c:v>USD/kg</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Model_Calculations'!$D$116:$N$116</c15:sqref>
                  </c15:fullRef>
                </c:ext>
              </c:extLst>
              <c:f>('Cost Model_Calculations'!$I$116,'Cost Model_Calculations'!$N$116)</c:f>
              <c:numCache>
                <c:formatCode>General</c:formatCode>
                <c:ptCount val="2"/>
                <c:pt idx="0">
                  <c:v>2.1419999999999999</c:v>
                </c:pt>
                <c:pt idx="1">
                  <c:v>2.0059999999999998</c:v>
                </c:pt>
              </c:numCache>
            </c:numRef>
          </c:val>
          <c:extLst>
            <c:ext xmlns:c16="http://schemas.microsoft.com/office/drawing/2014/chart" uri="{C3380CC4-5D6E-409C-BE32-E72D297353CC}">
              <c16:uniqueId val="{00000007-66AF-471A-AD37-AEB690F9A768}"/>
            </c:ext>
          </c:extLst>
        </c:ser>
        <c:ser>
          <c:idx val="7"/>
          <c:order val="7"/>
          <c:tx>
            <c:strRef>
              <c:f>'Cost Model_Calculations'!$B$117:$C$117</c:f>
              <c:strCache>
                <c:ptCount val="2"/>
                <c:pt idx="0">
                  <c:v>Other material</c:v>
                </c:pt>
                <c:pt idx="1">
                  <c:v>USD/kg</c:v>
                </c:pt>
              </c:strCache>
            </c:strRef>
          </c:tx>
          <c:spPr>
            <a:solidFill>
              <a:schemeClr val="accent2">
                <a:lumMod val="60000"/>
              </a:schemeClr>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Model_Calculations'!$D$117:$N$117</c15:sqref>
                  </c15:fullRef>
                </c:ext>
              </c:extLst>
              <c:f>('Cost Model_Calculations'!$I$117,'Cost Model_Calculations'!$N$117)</c:f>
              <c:numCache>
                <c:formatCode>General</c:formatCode>
                <c:ptCount val="2"/>
                <c:pt idx="0">
                  <c:v>1.2</c:v>
                </c:pt>
                <c:pt idx="1">
                  <c:v>1.2</c:v>
                </c:pt>
              </c:numCache>
            </c:numRef>
          </c:val>
          <c:extLst>
            <c:ext xmlns:c16="http://schemas.microsoft.com/office/drawing/2014/chart" uri="{C3380CC4-5D6E-409C-BE32-E72D297353CC}">
              <c16:uniqueId val="{00000008-66AF-471A-AD37-AEB690F9A768}"/>
            </c:ext>
          </c:extLst>
        </c:ser>
        <c:ser>
          <c:idx val="9"/>
          <c:order val="9"/>
          <c:tx>
            <c:strRef>
              <c:f>'Cost Model_Calculations'!$B$119:$C$119</c:f>
              <c:strCache>
                <c:ptCount val="2"/>
                <c:pt idx="0">
                  <c:v>Operating profit</c:v>
                </c:pt>
                <c:pt idx="1">
                  <c:v>USD/kg</c:v>
                </c:pt>
              </c:strCache>
            </c:strRef>
          </c:tx>
          <c:spPr>
            <a:solidFill>
              <a:schemeClr val="accent4">
                <a:lumMod val="60000"/>
              </a:schemeClr>
            </a:solidFill>
            <a:ln>
              <a:noFill/>
            </a:ln>
            <a:effectLst/>
          </c:spPr>
          <c:invertIfNegative val="0"/>
          <c:cat>
            <c:numRef>
              <c:extLst>
                <c:ext xmlns:c15="http://schemas.microsoft.com/office/drawing/2012/chart" uri="{02D57815-91ED-43cb-92C2-25804820EDAC}">
                  <c15:fullRef>
                    <c15:sqref>'Cost Model_Calculations'!$D$109:$N$109</c15:sqref>
                  </c15:fullRef>
                </c:ext>
              </c:extLst>
              <c:f>('Cost Model_Calculations'!$I$109,'Cost Model_Calculations'!$N$109)</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Model_Calculations'!$D$119:$N$119</c15:sqref>
                  </c15:fullRef>
                </c:ext>
              </c:extLst>
              <c:f>('Cost Model_Calculations'!$I$119,'Cost Model_Calculations'!$N$119)</c:f>
              <c:numCache>
                <c:formatCode>General</c:formatCode>
                <c:ptCount val="2"/>
                <c:pt idx="0">
                  <c:v>1.7668499999999996</c:v>
                </c:pt>
                <c:pt idx="1">
                  <c:v>1.71675</c:v>
                </c:pt>
              </c:numCache>
            </c:numRef>
          </c:val>
          <c:extLst>
            <c:ext xmlns:c16="http://schemas.microsoft.com/office/drawing/2014/chart" uri="{C3380CC4-5D6E-409C-BE32-E72D297353CC}">
              <c16:uniqueId val="{00000001-14EF-46D7-B136-CB2FD5D573DE}"/>
            </c:ext>
          </c:extLst>
        </c:ser>
        <c:dLbls>
          <c:showLegendKey val="0"/>
          <c:showVal val="0"/>
          <c:showCatName val="0"/>
          <c:showSerName val="0"/>
          <c:showPercent val="0"/>
          <c:showBubbleSize val="0"/>
        </c:dLbls>
        <c:gapWidth val="55"/>
        <c:overlap val="100"/>
        <c:axId val="2019430816"/>
        <c:axId val="2019433216"/>
        <c:extLst>
          <c:ext xmlns:c15="http://schemas.microsoft.com/office/drawing/2012/chart" uri="{02D57815-91ED-43cb-92C2-25804820EDAC}">
            <c15:filteredBarSeries>
              <c15:ser>
                <c:idx val="8"/>
                <c:order val="8"/>
                <c:tx>
                  <c:strRef>
                    <c:extLst>
                      <c:ext uri="{02D57815-91ED-43cb-92C2-25804820EDAC}">
                        <c15:formulaRef>
                          <c15:sqref>'Cost Model_Calculations'!$B$118:$C$118</c15:sqref>
                        </c15:formulaRef>
                      </c:ext>
                    </c:extLst>
                    <c:strCache>
                      <c:ptCount val="2"/>
                      <c:pt idx="0">
                        <c:v>Total costs</c:v>
                      </c:pt>
                      <c:pt idx="1">
                        <c:v>USD/kg</c:v>
                      </c:pt>
                    </c:strCache>
                  </c:strRef>
                </c:tx>
                <c:spPr>
                  <a:solidFill>
                    <a:schemeClr val="accent3">
                      <a:lumMod val="60000"/>
                    </a:schemeClr>
                  </a:solidFill>
                  <a:ln>
                    <a:noFill/>
                  </a:ln>
                  <a:effectLst/>
                </c:spPr>
                <c:invertIfNegative val="0"/>
                <c:cat>
                  <c:numRef>
                    <c:extLst>
                      <c:ext uri="{02D57815-91ED-43cb-92C2-25804820EDAC}">
                        <c15:fullRef>
                          <c15:sqref>'Cost Model_Calculations'!$D$109:$N$109</c15:sqref>
                        </c15:fullRef>
                        <c15:formulaRef>
                          <c15:sqref>('Cost Model_Calculations'!$I$109,'Cost Model_Calculations'!$N$109)</c15:sqref>
                        </c15:formulaRef>
                      </c:ext>
                    </c:extLst>
                    <c:numCache>
                      <c:formatCode>General</c:formatCode>
                      <c:ptCount val="2"/>
                      <c:pt idx="0">
                        <c:v>2025</c:v>
                      </c:pt>
                      <c:pt idx="1">
                        <c:v>2030</c:v>
                      </c:pt>
                    </c:numCache>
                  </c:numRef>
                </c:cat>
                <c:val>
                  <c:numRef>
                    <c:extLst>
                      <c:ext uri="{02D57815-91ED-43cb-92C2-25804820EDAC}">
                        <c15:fullRef>
                          <c15:sqref>'Cost Model_Calculations'!$D$118:$N$118</c15:sqref>
                        </c15:fullRef>
                        <c15:formulaRef>
                          <c15:sqref>('Cost Model_Calculations'!$I$118,'Cost Model_Calculations'!$N$118)</c15:sqref>
                        </c15:formulaRef>
                      </c:ext>
                    </c:extLst>
                    <c:numCache>
                      <c:formatCode>General</c:formatCode>
                      <c:ptCount val="2"/>
                      <c:pt idx="0">
                        <c:v>11.778999999999998</c:v>
                      </c:pt>
                      <c:pt idx="1">
                        <c:v>11.445</c:v>
                      </c:pt>
                    </c:numCache>
                  </c:numRef>
                </c:val>
                <c:extLst>
                  <c:ext xmlns:c16="http://schemas.microsoft.com/office/drawing/2014/chart" uri="{C3380CC4-5D6E-409C-BE32-E72D297353CC}">
                    <c16:uniqueId val="{00000000-14EF-46D7-B136-CB2FD5D573DE}"/>
                  </c:ext>
                </c:extLst>
              </c15:ser>
            </c15:filteredBarSeries>
          </c:ext>
        </c:extLst>
      </c:barChart>
      <c:catAx>
        <c:axId val="201943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19433216"/>
        <c:crosses val="autoZero"/>
        <c:auto val="1"/>
        <c:lblAlgn val="ctr"/>
        <c:lblOffset val="100"/>
        <c:noMultiLvlLbl val="0"/>
      </c:catAx>
      <c:valAx>
        <c:axId val="2019433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(USD/kg)</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19430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Domestic Wafer Costs - Monocrystalline</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'Cost Model_Calculations'!$B$134:$C$134</c:f>
              <c:strCache>
                <c:ptCount val="2"/>
                <c:pt idx="0">
                  <c:v>Overheads</c:v>
                </c:pt>
                <c:pt idx="1">
                  <c:v>USD/Wp</c:v>
                </c:pt>
              </c:strCache>
            </c:strRef>
          </c:tx>
          <c:spPr>
            <a:solidFill>
              <a:schemeClr val="accent1"/>
            </a:solidFill>
            <a:ln>
              <a:noFill/>
            </a:ln>
            <a:effectLst/>
          </c:spPr>
          <c:invertIfNegative val="0"/>
          <c:cat>
            <c:numRef>
              <c:extLst>
                <c:ext xmlns:c15="http://schemas.microsoft.com/office/drawing/2012/chart" uri="{02D57815-91ED-43cb-92C2-25804820EDAC}">
                  <c15:fullRef>
                    <c15:sqref>'Cost Model_Calculations'!$D$133:$N$133</c15:sqref>
                  </c15:fullRef>
                </c:ext>
              </c:extLst>
              <c:f>('Cost Model_Calculations'!$I$133,'Cost Model_Calculations'!$N$133)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Model_Calculations'!$D$134:$N$134</c15:sqref>
                  </c15:fullRef>
                </c:ext>
              </c:extLst>
              <c:f>('Cost Model_Calculations'!$I$134,'Cost Model_Calculations'!$N$134)</c:f>
              <c:numCache>
                <c:formatCode>0.000</c:formatCode>
                <c:ptCount val="2"/>
                <c:pt idx="0">
                  <c:v>4.8364641209440867E-3</c:v>
                </c:pt>
                <c:pt idx="1">
                  <c:v>4.7531078906533023E-3</c:v>
                </c:pt>
              </c:numCache>
            </c:numRef>
          </c:val>
          <c:extLst>
            <c:ext xmlns:c16="http://schemas.microsoft.com/office/drawing/2014/chart" uri="{C3380CC4-5D6E-409C-BE32-E72D297353CC}">
              <c16:uniqueId val="{00000000-787F-4632-92FD-FF21E8207C78}"/>
            </c:ext>
          </c:extLst>
        </c:ser>
        <c:ser>
          <c:idx val="1"/>
          <c:order val="1"/>
          <c:tx>
            <c:strRef>
              <c:f>'Cost Model_Calculations'!$B$135:$C$135</c:f>
              <c:strCache>
                <c:ptCount val="2"/>
                <c:pt idx="0">
                  <c:v>Electricity</c:v>
                </c:pt>
                <c:pt idx="1">
                  <c:v>USD/Wp</c:v>
                </c:pt>
              </c:strCache>
            </c:strRef>
          </c:tx>
          <c:spPr>
            <a:solidFill>
              <a:schemeClr val="accent2"/>
            </a:solidFill>
            <a:ln>
              <a:noFill/>
            </a:ln>
            <a:effectLst/>
          </c:spPr>
          <c:invertIfNegative val="0"/>
          <c:cat>
            <c:numRef>
              <c:extLst>
                <c:ext xmlns:c15="http://schemas.microsoft.com/office/drawing/2012/chart" uri="{02D57815-91ED-43cb-92C2-25804820EDAC}">
                  <c15:fullRef>
                    <c15:sqref>'Cost Model_Calculations'!$D$133:$N$133</c15:sqref>
                  </c15:fullRef>
                </c:ext>
              </c:extLst>
              <c:f>('Cost Model_Calculations'!$I$133,'Cost Model_Calculations'!$N$133)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Model_Calculations'!$D$135:$N$135</c15:sqref>
                  </c15:fullRef>
                </c:ext>
              </c:extLst>
              <c:f>('Cost Model_Calculations'!$I$135,'Cost Model_Calculations'!$N$135)</c:f>
              <c:numCache>
                <c:formatCode>0.0000</c:formatCode>
                <c:ptCount val="2"/>
                <c:pt idx="0">
                  <c:v>1.0317961354266821E-2</c:v>
                </c:pt>
                <c:pt idx="1">
                  <c:v>9.6229320130419016E-3</c:v>
                </c:pt>
              </c:numCache>
            </c:numRef>
          </c:val>
          <c:extLst>
            <c:ext xmlns:c16="http://schemas.microsoft.com/office/drawing/2014/chart" uri="{C3380CC4-5D6E-409C-BE32-E72D297353CC}">
              <c16:uniqueId val="{00000001-787F-4632-92FD-FF21E8207C78}"/>
            </c:ext>
          </c:extLst>
        </c:ser>
        <c:ser>
          <c:idx val="2"/>
          <c:order val="2"/>
          <c:tx>
            <c:strRef>
              <c:f>'Cost Model_Calculations'!$B$136:$C$136</c:f>
              <c:strCache>
                <c:ptCount val="2"/>
                <c:pt idx="0">
                  <c:v>Building and facilities</c:v>
                </c:pt>
                <c:pt idx="1">
                  <c:v>USD/Wp</c:v>
                </c:pt>
              </c:strCache>
            </c:strRef>
          </c:tx>
          <c:spPr>
            <a:solidFill>
              <a:schemeClr val="accent3"/>
            </a:solidFill>
            <a:ln>
              <a:noFill/>
            </a:ln>
            <a:effectLst/>
          </c:spPr>
          <c:invertIfNegative val="0"/>
          <c:cat>
            <c:numRef>
              <c:extLst>
                <c:ext xmlns:c15="http://schemas.microsoft.com/office/drawing/2012/chart" uri="{02D57815-91ED-43cb-92C2-25804820EDAC}">
                  <c15:fullRef>
                    <c15:sqref>'Cost Model_Calculations'!$D$133:$N$133</c15:sqref>
                  </c15:fullRef>
                </c:ext>
              </c:extLst>
              <c:f>('Cost Model_Calculations'!$I$133,'Cost Model_Calculations'!$N$133)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Model_Calculations'!$D$136:$N$136</c15:sqref>
                  </c15:fullRef>
                </c:ext>
              </c:extLst>
              <c:f>('Cost Model_Calculations'!$I$136,'Cost Model_Calculations'!$N$136)</c:f>
              <c:numCache>
                <c:formatCode>0.0000</c:formatCode>
                <c:ptCount val="2"/>
                <c:pt idx="0">
                  <c:v>2.7499999999999998E-3</c:v>
                </c:pt>
                <c:pt idx="1">
                  <c:v>2.7499999999999998E-3</c:v>
                </c:pt>
              </c:numCache>
            </c:numRef>
          </c:val>
          <c:extLst>
            <c:ext xmlns:c16="http://schemas.microsoft.com/office/drawing/2014/chart" uri="{C3380CC4-5D6E-409C-BE32-E72D297353CC}">
              <c16:uniqueId val="{00000002-787F-4632-92FD-FF21E8207C78}"/>
            </c:ext>
          </c:extLst>
        </c:ser>
        <c:ser>
          <c:idx val="3"/>
          <c:order val="3"/>
          <c:tx>
            <c:strRef>
              <c:f>'Cost Model_Calculations'!$B$137:$C$137</c:f>
              <c:strCache>
                <c:ptCount val="2"/>
                <c:pt idx="0">
                  <c:v>Equipment depreciation</c:v>
                </c:pt>
                <c:pt idx="1">
                  <c:v>USD/Wp</c:v>
                </c:pt>
              </c:strCache>
            </c:strRef>
          </c:tx>
          <c:spPr>
            <a:solidFill>
              <a:schemeClr val="accent4"/>
            </a:solidFill>
            <a:ln>
              <a:noFill/>
            </a:ln>
            <a:effectLst/>
          </c:spPr>
          <c:invertIfNegative val="0"/>
          <c:cat>
            <c:numRef>
              <c:extLst>
                <c:ext xmlns:c15="http://schemas.microsoft.com/office/drawing/2012/chart" uri="{02D57815-91ED-43cb-92C2-25804820EDAC}">
                  <c15:fullRef>
                    <c15:sqref>'Cost Model_Calculations'!$D$133:$N$133</c15:sqref>
                  </c15:fullRef>
                </c:ext>
              </c:extLst>
              <c:f>('Cost Model_Calculations'!$I$133,'Cost Model_Calculations'!$N$133)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Model_Calculations'!$D$137:$N$137</c15:sqref>
                  </c15:fullRef>
                </c:ext>
              </c:extLst>
              <c:f>('Cost Model_Calculations'!$I$137,'Cost Model_Calculations'!$N$137)</c:f>
              <c:numCache>
                <c:formatCode>0.0000</c:formatCode>
                <c:ptCount val="2"/>
                <c:pt idx="0">
                  <c:v>6.4285714285714285E-3</c:v>
                </c:pt>
                <c:pt idx="1">
                  <c:v>6.4285714285714285E-3</c:v>
                </c:pt>
              </c:numCache>
            </c:numRef>
          </c:val>
          <c:extLst>
            <c:ext xmlns:c16="http://schemas.microsoft.com/office/drawing/2014/chart" uri="{C3380CC4-5D6E-409C-BE32-E72D297353CC}">
              <c16:uniqueId val="{00000003-787F-4632-92FD-FF21E8207C78}"/>
            </c:ext>
          </c:extLst>
        </c:ser>
        <c:ser>
          <c:idx val="4"/>
          <c:order val="4"/>
          <c:tx>
            <c:strRef>
              <c:f>'Cost Model_Calculations'!$B$138:$C$138</c:f>
              <c:strCache>
                <c:ptCount val="2"/>
                <c:pt idx="0">
                  <c:v>Maintenance</c:v>
                </c:pt>
                <c:pt idx="1">
                  <c:v>USD/Wp</c:v>
                </c:pt>
              </c:strCache>
            </c:strRef>
          </c:tx>
          <c:spPr>
            <a:solidFill>
              <a:schemeClr val="accent5"/>
            </a:solidFill>
            <a:ln>
              <a:noFill/>
            </a:ln>
            <a:effectLst/>
          </c:spPr>
          <c:invertIfNegative val="0"/>
          <c:cat>
            <c:numRef>
              <c:extLst>
                <c:ext xmlns:c15="http://schemas.microsoft.com/office/drawing/2012/chart" uri="{02D57815-91ED-43cb-92C2-25804820EDAC}">
                  <c15:fullRef>
                    <c15:sqref>'Cost Model_Calculations'!$D$133:$N$133</c15:sqref>
                  </c15:fullRef>
                </c:ext>
              </c:extLst>
              <c:f>('Cost Model_Calculations'!$I$133,'Cost Model_Calculations'!$N$133)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Model_Calculations'!$D$138:$N$138</c15:sqref>
                  </c15:fullRef>
                </c:ext>
              </c:extLst>
              <c:f>('Cost Model_Calculations'!$I$138,'Cost Model_Calculations'!$N$138)</c:f>
              <c:numCache>
                <c:formatCode>0.000</c:formatCode>
                <c:ptCount val="2"/>
                <c:pt idx="0">
                  <c:v>4.0000000000000001E-3</c:v>
                </c:pt>
                <c:pt idx="1">
                  <c:v>4.0000000000000001E-3</c:v>
                </c:pt>
              </c:numCache>
            </c:numRef>
          </c:val>
          <c:extLst>
            <c:ext xmlns:c16="http://schemas.microsoft.com/office/drawing/2014/chart" uri="{C3380CC4-5D6E-409C-BE32-E72D297353CC}">
              <c16:uniqueId val="{00000004-787F-4632-92FD-FF21E8207C78}"/>
            </c:ext>
          </c:extLst>
        </c:ser>
        <c:ser>
          <c:idx val="5"/>
          <c:order val="5"/>
          <c:tx>
            <c:strRef>
              <c:f>'Cost Model_Calculations'!$B$139:$C$139</c:f>
              <c:strCache>
                <c:ptCount val="2"/>
                <c:pt idx="0">
                  <c:v>Labour</c:v>
                </c:pt>
                <c:pt idx="1">
                  <c:v>USD/Wp</c:v>
                </c:pt>
              </c:strCache>
            </c:strRef>
          </c:tx>
          <c:spPr>
            <a:solidFill>
              <a:schemeClr val="accent6"/>
            </a:solidFill>
            <a:ln>
              <a:noFill/>
            </a:ln>
            <a:effectLst/>
          </c:spPr>
          <c:invertIfNegative val="0"/>
          <c:cat>
            <c:numRef>
              <c:extLst>
                <c:ext xmlns:c15="http://schemas.microsoft.com/office/drawing/2012/chart" uri="{02D57815-91ED-43cb-92C2-25804820EDAC}">
                  <c15:fullRef>
                    <c15:sqref>'Cost Model_Calculations'!$D$133:$N$133</c15:sqref>
                  </c15:fullRef>
                </c:ext>
              </c:extLst>
              <c:f>('Cost Model_Calculations'!$I$133,'Cost Model_Calculations'!$N$133)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Model_Calculations'!$D$139:$N$139</c15:sqref>
                  </c15:fullRef>
                </c:ext>
              </c:extLst>
              <c:f>('Cost Model_Calculations'!$I$139,'Cost Model_Calculations'!$N$139)</c:f>
              <c:numCache>
                <c:formatCode>0.0000</c:formatCode>
                <c:ptCount val="2"/>
                <c:pt idx="0">
                  <c:v>1.4405000000000001E-2</c:v>
                </c:pt>
                <c:pt idx="1">
                  <c:v>1.4405000000000001E-2</c:v>
                </c:pt>
              </c:numCache>
            </c:numRef>
          </c:val>
          <c:extLst>
            <c:ext xmlns:c16="http://schemas.microsoft.com/office/drawing/2014/chart" uri="{C3380CC4-5D6E-409C-BE32-E72D297353CC}">
              <c16:uniqueId val="{00000005-787F-4632-92FD-FF21E8207C78}"/>
            </c:ext>
          </c:extLst>
        </c:ser>
        <c:ser>
          <c:idx val="6"/>
          <c:order val="6"/>
          <c:tx>
            <c:strRef>
              <c:f>'Cost Model_Calculations'!$B$140:$C$140</c:f>
              <c:strCache>
                <c:ptCount val="2"/>
                <c:pt idx="0">
                  <c:v>Other material</c:v>
                </c:pt>
                <c:pt idx="1">
                  <c:v>USD/Wp</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'Cost Model_Calculations'!$D$133:$N$133</c15:sqref>
                  </c15:fullRef>
                </c:ext>
              </c:extLst>
              <c:f>('Cost Model_Calculations'!$I$133,'Cost Model_Calculations'!$N$133)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Model_Calculations'!$D$140:$N$140</c15:sqref>
                  </c15:fullRef>
                </c:ext>
              </c:extLst>
              <c:f>('Cost Model_Calculations'!$I$140,'Cost Model_Calculations'!$N$140)</c:f>
              <c:numCache>
                <c:formatCode>0.0000</c:formatCode>
                <c:ptCount val="2"/>
                <c:pt idx="0">
                  <c:v>8.8275891586505027E-3</c:v>
                </c:pt>
                <c:pt idx="1">
                  <c:v>8.71724429416737E-3</c:v>
                </c:pt>
              </c:numCache>
            </c:numRef>
          </c:val>
          <c:extLst>
            <c:ext xmlns:c16="http://schemas.microsoft.com/office/drawing/2014/chart" uri="{C3380CC4-5D6E-409C-BE32-E72D297353CC}">
              <c16:uniqueId val="{00000006-787F-4632-92FD-FF21E8207C78}"/>
            </c:ext>
          </c:extLst>
        </c:ser>
        <c:ser>
          <c:idx val="8"/>
          <c:order val="8"/>
          <c:tx>
            <c:strRef>
              <c:f>'Cost Model_Calculations'!$B$142:$C$142</c:f>
              <c:strCache>
                <c:ptCount val="2"/>
                <c:pt idx="0">
                  <c:v>Operating profit</c:v>
                </c:pt>
                <c:pt idx="1">
                  <c:v>USD/Wp</c:v>
                </c:pt>
              </c:strCache>
            </c:strRef>
          </c:tx>
          <c:spPr>
            <a:solidFill>
              <a:schemeClr val="accent3">
                <a:lumMod val="60000"/>
              </a:schemeClr>
            </a:solidFill>
            <a:ln>
              <a:noFill/>
            </a:ln>
            <a:effectLst/>
          </c:spPr>
          <c:invertIfNegative val="0"/>
          <c:cat>
            <c:numRef>
              <c:extLst>
                <c:ext xmlns:c15="http://schemas.microsoft.com/office/drawing/2012/chart" uri="{02D57815-91ED-43cb-92C2-25804820EDAC}">
                  <c15:fullRef>
                    <c15:sqref>'Cost Model_Calculations'!$D$133:$N$133</c15:sqref>
                  </c15:fullRef>
                </c:ext>
              </c:extLst>
              <c:f>('Cost Model_Calculations'!$I$133,'Cost Model_Calculations'!$N$133)</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Model_Calculations'!$D$142:$N$142</c15:sqref>
                  </c15:fullRef>
                </c:ext>
              </c:extLst>
              <c:f>('Cost Model_Calculations'!$I$142,'Cost Model_Calculations'!$N$142)</c:f>
              <c:numCache>
                <c:formatCode>0.000</c:formatCode>
                <c:ptCount val="2"/>
                <c:pt idx="0">
                  <c:v>7.0093682912233139E-3</c:v>
                </c:pt>
                <c:pt idx="1">
                  <c:v>6.888562160367105E-3</c:v>
                </c:pt>
              </c:numCache>
            </c:numRef>
          </c:val>
          <c:extLst>
            <c:ext xmlns:c16="http://schemas.microsoft.com/office/drawing/2014/chart" uri="{C3380CC4-5D6E-409C-BE32-E72D297353CC}">
              <c16:uniqueId val="{00000001-008E-458A-A54B-BBD19AF20072}"/>
            </c:ext>
          </c:extLst>
        </c:ser>
        <c:dLbls>
          <c:showLegendKey val="0"/>
          <c:showVal val="0"/>
          <c:showCatName val="0"/>
          <c:showSerName val="0"/>
          <c:showPercent val="0"/>
          <c:showBubbleSize val="0"/>
        </c:dLbls>
        <c:gapWidth val="55"/>
        <c:overlap val="100"/>
        <c:axId val="27953888"/>
        <c:axId val="27954368"/>
        <c:extLst>
          <c:ext xmlns:c15="http://schemas.microsoft.com/office/drawing/2012/chart" uri="{02D57815-91ED-43cb-92C2-25804820EDAC}">
            <c15:filteredBarSeries>
              <c15:ser>
                <c:idx val="7"/>
                <c:order val="7"/>
                <c:tx>
                  <c:strRef>
                    <c:extLst>
                      <c:ext uri="{02D57815-91ED-43cb-92C2-25804820EDAC}">
                        <c15:formulaRef>
                          <c15:sqref>'Cost Model_Calculations'!$B$141:$C$141</c15:sqref>
                        </c15:formulaRef>
                      </c:ext>
                    </c:extLst>
                    <c:strCache>
                      <c:ptCount val="2"/>
                      <c:pt idx="0">
                        <c:v>Final costs</c:v>
                      </c:pt>
                      <c:pt idx="1">
                        <c:v>USD/Wp</c:v>
                      </c:pt>
                    </c:strCache>
                  </c:strRef>
                </c:tx>
                <c:spPr>
                  <a:solidFill>
                    <a:schemeClr val="accent2">
                      <a:lumMod val="60000"/>
                    </a:schemeClr>
                  </a:solidFill>
                  <a:ln>
                    <a:noFill/>
                  </a:ln>
                  <a:effectLst/>
                </c:spPr>
                <c:invertIfNegative val="0"/>
                <c:cat>
                  <c:numRef>
                    <c:extLst>
                      <c:ext uri="{02D57815-91ED-43cb-92C2-25804820EDAC}">
                        <c15:fullRef>
                          <c15:sqref>'Cost Model_Calculations'!$D$133:$N$133</c15:sqref>
                        </c15:fullRef>
                        <c15:formulaRef>
                          <c15:sqref>('Cost Model_Calculations'!$I$133,'Cost Model_Calculations'!$N$133)</c15:sqref>
                        </c15:formulaRef>
                      </c:ext>
                    </c:extLst>
                    <c:numCache>
                      <c:formatCode>General</c:formatCode>
                      <c:ptCount val="2"/>
                      <c:pt idx="0">
                        <c:v>2025</c:v>
                      </c:pt>
                      <c:pt idx="1">
                        <c:v>2030</c:v>
                      </c:pt>
                    </c:numCache>
                  </c:numRef>
                </c:cat>
                <c:val>
                  <c:numRef>
                    <c:extLst>
                      <c:ext uri="{02D57815-91ED-43cb-92C2-25804820EDAC}">
                        <c15:fullRef>
                          <c15:sqref>'Cost Model_Calculations'!$D$141:$N$141</c15:sqref>
                        </c15:fullRef>
                        <c15:formulaRef>
                          <c15:sqref>('Cost Model_Calculations'!$I$141,'Cost Model_Calculations'!$N$141)</c15:sqref>
                        </c15:formulaRef>
                      </c:ext>
                    </c:extLst>
                    <c:numCache>
                      <c:formatCode>0.000</c:formatCode>
                      <c:ptCount val="2"/>
                      <c:pt idx="0">
                        <c:v>4.672912194148876E-2</c:v>
                      </c:pt>
                      <c:pt idx="1">
                        <c:v>4.5923747735780701E-2</c:v>
                      </c:pt>
                    </c:numCache>
                  </c:numRef>
                </c:val>
                <c:extLst>
                  <c:ext xmlns:c16="http://schemas.microsoft.com/office/drawing/2014/chart" uri="{C3380CC4-5D6E-409C-BE32-E72D297353CC}">
                    <c16:uniqueId val="{00000000-008E-458A-A54B-BBD19AF20072}"/>
                  </c:ext>
                </c:extLst>
              </c15:ser>
            </c15:filteredBarSeries>
          </c:ext>
        </c:extLst>
      </c:barChart>
      <c:catAx>
        <c:axId val="2795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7954368"/>
        <c:crosses val="autoZero"/>
        <c:auto val="1"/>
        <c:lblAlgn val="ctr"/>
        <c:lblOffset val="100"/>
        <c:noMultiLvlLbl val="0"/>
      </c:catAx>
      <c:valAx>
        <c:axId val="27954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(USD/Wp)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7953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Domestic Cell Costs - Monocrystalline</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'Cost Model_Calculations'!$B$155:$C$155</c:f>
              <c:strCache>
                <c:ptCount val="2"/>
                <c:pt idx="0">
                  <c:v>Overheads</c:v>
                </c:pt>
                <c:pt idx="1">
                  <c:v>USD/Wp</c:v>
                </c:pt>
              </c:strCache>
            </c:strRef>
          </c:tx>
          <c:spPr>
            <a:solidFill>
              <a:schemeClr val="accent1"/>
            </a:solidFill>
            <a:ln>
              <a:noFill/>
            </a:ln>
            <a:effectLst/>
          </c:spPr>
          <c:invertIfNegative val="0"/>
          <c:cat>
            <c:numRef>
              <c:extLst>
                <c:ext xmlns:c15="http://schemas.microsoft.com/office/drawing/2012/chart" uri="{02D57815-91ED-43cb-92C2-25804820EDAC}">
                  <c15:fullRef>
                    <c15:sqref>'Cost Model_Calculations'!$D$154:$N$154</c15:sqref>
                  </c15:fullRef>
                </c:ext>
              </c:extLst>
              <c:f>('Cost Model_Calculations'!$I$154,'Cost Model_Calculations'!$N$154)</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Model_Calculations'!$D$155:$N$155</c15:sqref>
                  </c15:fullRef>
                </c:ext>
              </c:extLst>
              <c:f>('Cost Model_Calculations'!$I$155,'Cost Model_Calculations'!$N$155)</c:f>
              <c:numCache>
                <c:formatCode>General</c:formatCode>
                <c:ptCount val="2"/>
                <c:pt idx="0">
                  <c:v>4.9410249864911132E-3</c:v>
                </c:pt>
                <c:pt idx="1">
                  <c:v>4.6244815502354793E-3</c:v>
                </c:pt>
              </c:numCache>
            </c:numRef>
          </c:val>
          <c:extLst>
            <c:ext xmlns:c16="http://schemas.microsoft.com/office/drawing/2014/chart" uri="{C3380CC4-5D6E-409C-BE32-E72D297353CC}">
              <c16:uniqueId val="{00000000-2E1D-4EC5-9D63-B34522CE35F0}"/>
            </c:ext>
          </c:extLst>
        </c:ser>
        <c:ser>
          <c:idx val="1"/>
          <c:order val="1"/>
          <c:tx>
            <c:strRef>
              <c:f>'Cost Model_Calculations'!$B$156:$C$156</c:f>
              <c:strCache>
                <c:ptCount val="2"/>
                <c:pt idx="0">
                  <c:v>Electricity</c:v>
                </c:pt>
                <c:pt idx="1">
                  <c:v>USD/Wp</c:v>
                </c:pt>
              </c:strCache>
            </c:strRef>
          </c:tx>
          <c:spPr>
            <a:solidFill>
              <a:schemeClr val="accent2"/>
            </a:solidFill>
            <a:ln>
              <a:noFill/>
            </a:ln>
            <a:effectLst/>
          </c:spPr>
          <c:invertIfNegative val="0"/>
          <c:cat>
            <c:numRef>
              <c:extLst>
                <c:ext xmlns:c15="http://schemas.microsoft.com/office/drawing/2012/chart" uri="{02D57815-91ED-43cb-92C2-25804820EDAC}">
                  <c15:fullRef>
                    <c15:sqref>'Cost Model_Calculations'!$D$154:$N$154</c15:sqref>
                  </c15:fullRef>
                </c:ext>
              </c:extLst>
              <c:f>('Cost Model_Calculations'!$I$154,'Cost Model_Calculations'!$N$154)</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Model_Calculations'!$D$156:$N$156</c15:sqref>
                  </c15:fullRef>
                </c:ext>
              </c:extLst>
              <c:f>('Cost Model_Calculations'!$I$156,'Cost Model_Calculations'!$N$156)</c:f>
              <c:numCache>
                <c:formatCode>0.0000</c:formatCode>
                <c:ptCount val="2"/>
                <c:pt idx="0">
                  <c:v>4.7699999999999999E-3</c:v>
                </c:pt>
                <c:pt idx="1">
                  <c:v>3.15E-3</c:v>
                </c:pt>
              </c:numCache>
            </c:numRef>
          </c:val>
          <c:extLst>
            <c:ext xmlns:c16="http://schemas.microsoft.com/office/drawing/2014/chart" uri="{C3380CC4-5D6E-409C-BE32-E72D297353CC}">
              <c16:uniqueId val="{00000001-2E1D-4EC5-9D63-B34522CE35F0}"/>
            </c:ext>
          </c:extLst>
        </c:ser>
        <c:ser>
          <c:idx val="2"/>
          <c:order val="2"/>
          <c:tx>
            <c:strRef>
              <c:f>'Cost Model_Calculations'!$B$157:$C$157</c:f>
              <c:strCache>
                <c:ptCount val="2"/>
                <c:pt idx="0">
                  <c:v>Building and facilities</c:v>
                </c:pt>
                <c:pt idx="1">
                  <c:v>USD/Wp</c:v>
                </c:pt>
              </c:strCache>
            </c:strRef>
          </c:tx>
          <c:spPr>
            <a:solidFill>
              <a:schemeClr val="accent3"/>
            </a:solidFill>
            <a:ln>
              <a:noFill/>
            </a:ln>
            <a:effectLst/>
          </c:spPr>
          <c:invertIfNegative val="0"/>
          <c:cat>
            <c:numRef>
              <c:extLst>
                <c:ext xmlns:c15="http://schemas.microsoft.com/office/drawing/2012/chart" uri="{02D57815-91ED-43cb-92C2-25804820EDAC}">
                  <c15:fullRef>
                    <c15:sqref>'Cost Model_Calculations'!$D$154:$N$154</c15:sqref>
                  </c15:fullRef>
                </c:ext>
              </c:extLst>
              <c:f>('Cost Model_Calculations'!$I$154,'Cost Model_Calculations'!$N$154)</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Model_Calculations'!$D$157:$N$157</c15:sqref>
                  </c15:fullRef>
                </c:ext>
              </c:extLst>
              <c:f>('Cost Model_Calculations'!$I$157,'Cost Model_Calculations'!$N$157)</c:f>
              <c:numCache>
                <c:formatCode>0.0000</c:formatCode>
                <c:ptCount val="2"/>
                <c:pt idx="0">
                  <c:v>2.5000000000000001E-3</c:v>
                </c:pt>
                <c:pt idx="1">
                  <c:v>2.5000000000000001E-3</c:v>
                </c:pt>
              </c:numCache>
            </c:numRef>
          </c:val>
          <c:extLst>
            <c:ext xmlns:c16="http://schemas.microsoft.com/office/drawing/2014/chart" uri="{C3380CC4-5D6E-409C-BE32-E72D297353CC}">
              <c16:uniqueId val="{00000002-2E1D-4EC5-9D63-B34522CE35F0}"/>
            </c:ext>
          </c:extLst>
        </c:ser>
        <c:ser>
          <c:idx val="3"/>
          <c:order val="3"/>
          <c:tx>
            <c:strRef>
              <c:f>'Cost Model_Calculations'!$B$158:$C$158</c:f>
              <c:strCache>
                <c:ptCount val="2"/>
                <c:pt idx="0">
                  <c:v>Equipment depreciation</c:v>
                </c:pt>
                <c:pt idx="1">
                  <c:v>USD/Wp</c:v>
                </c:pt>
              </c:strCache>
            </c:strRef>
          </c:tx>
          <c:spPr>
            <a:solidFill>
              <a:schemeClr val="accent4"/>
            </a:solidFill>
            <a:ln>
              <a:noFill/>
            </a:ln>
            <a:effectLst/>
          </c:spPr>
          <c:invertIfNegative val="0"/>
          <c:cat>
            <c:numRef>
              <c:extLst>
                <c:ext xmlns:c15="http://schemas.microsoft.com/office/drawing/2012/chart" uri="{02D57815-91ED-43cb-92C2-25804820EDAC}">
                  <c15:fullRef>
                    <c15:sqref>'Cost Model_Calculations'!$D$154:$N$154</c15:sqref>
                  </c15:fullRef>
                </c:ext>
              </c:extLst>
              <c:f>('Cost Model_Calculations'!$I$154,'Cost Model_Calculations'!$N$154)</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Model_Calculations'!$D$158:$N$158</c15:sqref>
                  </c15:fullRef>
                </c:ext>
              </c:extLst>
              <c:f>('Cost Model_Calculations'!$I$158,'Cost Model_Calculations'!$N$158)</c:f>
              <c:numCache>
                <c:formatCode>0.0000</c:formatCode>
                <c:ptCount val="2"/>
                <c:pt idx="0">
                  <c:v>0.01</c:v>
                </c:pt>
                <c:pt idx="1">
                  <c:v>0.01</c:v>
                </c:pt>
              </c:numCache>
            </c:numRef>
          </c:val>
          <c:extLst>
            <c:ext xmlns:c16="http://schemas.microsoft.com/office/drawing/2014/chart" uri="{C3380CC4-5D6E-409C-BE32-E72D297353CC}">
              <c16:uniqueId val="{00000003-2E1D-4EC5-9D63-B34522CE35F0}"/>
            </c:ext>
          </c:extLst>
        </c:ser>
        <c:ser>
          <c:idx val="4"/>
          <c:order val="4"/>
          <c:tx>
            <c:strRef>
              <c:f>'Cost Model_Calculations'!$B$159:$C$159</c:f>
              <c:strCache>
                <c:ptCount val="2"/>
                <c:pt idx="0">
                  <c:v>Maintenance</c:v>
                </c:pt>
                <c:pt idx="1">
                  <c:v>USD/Wp</c:v>
                </c:pt>
              </c:strCache>
            </c:strRef>
          </c:tx>
          <c:spPr>
            <a:solidFill>
              <a:schemeClr val="accent5"/>
            </a:solidFill>
            <a:ln>
              <a:noFill/>
            </a:ln>
            <a:effectLst/>
          </c:spPr>
          <c:invertIfNegative val="0"/>
          <c:cat>
            <c:numRef>
              <c:extLst>
                <c:ext xmlns:c15="http://schemas.microsoft.com/office/drawing/2012/chart" uri="{02D57815-91ED-43cb-92C2-25804820EDAC}">
                  <c15:fullRef>
                    <c15:sqref>'Cost Model_Calculations'!$D$154:$N$154</c15:sqref>
                  </c15:fullRef>
                </c:ext>
              </c:extLst>
              <c:f>('Cost Model_Calculations'!$I$154,'Cost Model_Calculations'!$N$154)</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Model_Calculations'!$D$159:$N$159</c15:sqref>
                  </c15:fullRef>
                </c:ext>
              </c:extLst>
              <c:f>('Cost Model_Calculations'!$I$159,'Cost Model_Calculations'!$N$159)</c:f>
              <c:numCache>
                <c:formatCode>0.000</c:formatCode>
                <c:ptCount val="2"/>
                <c:pt idx="0">
                  <c:v>4.0000000000000001E-3</c:v>
                </c:pt>
                <c:pt idx="1">
                  <c:v>4.0000000000000001E-3</c:v>
                </c:pt>
              </c:numCache>
            </c:numRef>
          </c:val>
          <c:extLst>
            <c:ext xmlns:c16="http://schemas.microsoft.com/office/drawing/2014/chart" uri="{C3380CC4-5D6E-409C-BE32-E72D297353CC}">
              <c16:uniqueId val="{00000004-2E1D-4EC5-9D63-B34522CE35F0}"/>
            </c:ext>
          </c:extLst>
        </c:ser>
        <c:ser>
          <c:idx val="5"/>
          <c:order val="5"/>
          <c:tx>
            <c:strRef>
              <c:f>'Cost Model_Calculations'!$B$160:$C$160</c:f>
              <c:strCache>
                <c:ptCount val="2"/>
                <c:pt idx="0">
                  <c:v>Labour</c:v>
                </c:pt>
                <c:pt idx="1">
                  <c:v>USD/Wp</c:v>
                </c:pt>
              </c:strCache>
            </c:strRef>
          </c:tx>
          <c:spPr>
            <a:solidFill>
              <a:schemeClr val="accent6"/>
            </a:solidFill>
            <a:ln>
              <a:noFill/>
            </a:ln>
            <a:effectLst/>
          </c:spPr>
          <c:invertIfNegative val="0"/>
          <c:cat>
            <c:numRef>
              <c:extLst>
                <c:ext xmlns:c15="http://schemas.microsoft.com/office/drawing/2012/chart" uri="{02D57815-91ED-43cb-92C2-25804820EDAC}">
                  <c15:fullRef>
                    <c15:sqref>'Cost Model_Calculations'!$D$154:$N$154</c15:sqref>
                  </c15:fullRef>
                </c:ext>
              </c:extLst>
              <c:f>('Cost Model_Calculations'!$I$154,'Cost Model_Calculations'!$N$154)</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Model_Calculations'!$D$160:$N$160</c15:sqref>
                  </c15:fullRef>
                </c:ext>
              </c:extLst>
              <c:f>('Cost Model_Calculations'!$I$160,'Cost Model_Calculations'!$N$160)</c:f>
              <c:numCache>
                <c:formatCode>0.0000</c:formatCode>
                <c:ptCount val="2"/>
                <c:pt idx="0">
                  <c:v>1.4405000000000001E-2</c:v>
                </c:pt>
                <c:pt idx="1">
                  <c:v>1.4405000000000001E-2</c:v>
                </c:pt>
              </c:numCache>
            </c:numRef>
          </c:val>
          <c:extLst>
            <c:ext xmlns:c16="http://schemas.microsoft.com/office/drawing/2014/chart" uri="{C3380CC4-5D6E-409C-BE32-E72D297353CC}">
              <c16:uniqueId val="{00000005-2E1D-4EC5-9D63-B34522CE35F0}"/>
            </c:ext>
          </c:extLst>
        </c:ser>
        <c:ser>
          <c:idx val="6"/>
          <c:order val="6"/>
          <c:tx>
            <c:strRef>
              <c:f>'Cost Model_Calculations'!$B$161:$C$161</c:f>
              <c:strCache>
                <c:ptCount val="2"/>
                <c:pt idx="0">
                  <c:v>Other material including Silver</c:v>
                </c:pt>
                <c:pt idx="1">
                  <c:v>USD/Wp</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'Cost Model_Calculations'!$D$154:$N$154</c15:sqref>
                  </c15:fullRef>
                </c:ext>
              </c:extLst>
              <c:f>('Cost Model_Calculations'!$I$154,'Cost Model_Calculations'!$N$154)</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Model_Calculations'!$D$161:$N$161</c15:sqref>
                  </c15:fullRef>
                </c:ext>
              </c:extLst>
              <c:f>('Cost Model_Calculations'!$I$161,'Cost Model_Calculations'!$N$161)</c:f>
              <c:numCache>
                <c:formatCode>0.0000</c:formatCode>
                <c:ptCount val="2"/>
                <c:pt idx="0">
                  <c:v>1.2064371850155686E-2</c:v>
                </c:pt>
                <c:pt idx="1">
                  <c:v>1.0625981161695448E-2</c:v>
                </c:pt>
              </c:numCache>
            </c:numRef>
          </c:val>
          <c:extLst>
            <c:ext xmlns:c16="http://schemas.microsoft.com/office/drawing/2014/chart" uri="{C3380CC4-5D6E-409C-BE32-E72D297353CC}">
              <c16:uniqueId val="{00000006-2E1D-4EC5-9D63-B34522CE35F0}"/>
            </c:ext>
          </c:extLst>
        </c:ser>
        <c:ser>
          <c:idx val="8"/>
          <c:order val="8"/>
          <c:tx>
            <c:strRef>
              <c:f>'Cost Model_Calculations'!$B$163:$C$163</c:f>
              <c:strCache>
                <c:ptCount val="2"/>
                <c:pt idx="0">
                  <c:v>Operating profit</c:v>
                </c:pt>
                <c:pt idx="1">
                  <c:v>USD/Wp</c:v>
                </c:pt>
              </c:strCache>
            </c:strRef>
          </c:tx>
          <c:spPr>
            <a:solidFill>
              <a:schemeClr val="accent3">
                <a:lumMod val="60000"/>
              </a:schemeClr>
            </a:solidFill>
            <a:ln>
              <a:noFill/>
            </a:ln>
            <a:effectLst/>
          </c:spPr>
          <c:invertIfNegative val="0"/>
          <c:cat>
            <c:numRef>
              <c:extLst>
                <c:ext xmlns:c15="http://schemas.microsoft.com/office/drawing/2012/chart" uri="{02D57815-91ED-43cb-92C2-25804820EDAC}">
                  <c15:fullRef>
                    <c15:sqref>'Cost Model_Calculations'!$D$154:$N$154</c15:sqref>
                  </c15:fullRef>
                </c:ext>
              </c:extLst>
              <c:f>('Cost Model_Calculations'!$I$154,'Cost Model_Calculations'!$N$154)</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Model_Calculations'!$D$163:$N$163</c15:sqref>
                  </c15:fullRef>
                </c:ext>
              </c:extLst>
              <c:f>('Cost Model_Calculations'!$I$163,'Cost Model_Calculations'!$N$163)</c:f>
              <c:numCache>
                <c:formatCode>0.000</c:formatCode>
                <c:ptCount val="2"/>
                <c:pt idx="0">
                  <c:v>7.1609057775233525E-3</c:v>
                </c:pt>
                <c:pt idx="1">
                  <c:v>6.702147174254317E-3</c:v>
                </c:pt>
              </c:numCache>
            </c:numRef>
          </c:val>
          <c:extLst>
            <c:ext xmlns:c16="http://schemas.microsoft.com/office/drawing/2014/chart" uri="{C3380CC4-5D6E-409C-BE32-E72D297353CC}">
              <c16:uniqueId val="{00000001-2F62-4EAD-8ED1-05155405F4CB}"/>
            </c:ext>
          </c:extLst>
        </c:ser>
        <c:dLbls>
          <c:showLegendKey val="0"/>
          <c:showVal val="0"/>
          <c:showCatName val="0"/>
          <c:showSerName val="0"/>
          <c:showPercent val="0"/>
          <c:showBubbleSize val="0"/>
        </c:dLbls>
        <c:gapWidth val="55"/>
        <c:overlap val="100"/>
        <c:axId val="1270541856"/>
        <c:axId val="1270541376"/>
        <c:extLst>
          <c:ext xmlns:c15="http://schemas.microsoft.com/office/drawing/2012/chart" uri="{02D57815-91ED-43cb-92C2-25804820EDAC}">
            <c15:filteredBarSeries>
              <c15:ser>
                <c:idx val="7"/>
                <c:order val="7"/>
                <c:tx>
                  <c:strRef>
                    <c:extLst>
                      <c:ext uri="{02D57815-91ED-43cb-92C2-25804820EDAC}">
                        <c15:formulaRef>
                          <c15:sqref>'Cost Model_Calculations'!$B$162:$C$162</c15:sqref>
                        </c15:formulaRef>
                      </c:ext>
                    </c:extLst>
                    <c:strCache>
                      <c:ptCount val="2"/>
                      <c:pt idx="0">
                        <c:v>Final costs</c:v>
                      </c:pt>
                      <c:pt idx="1">
                        <c:v>USD/Wp</c:v>
                      </c:pt>
                    </c:strCache>
                  </c:strRef>
                </c:tx>
                <c:spPr>
                  <a:solidFill>
                    <a:schemeClr val="accent2">
                      <a:lumMod val="60000"/>
                    </a:schemeClr>
                  </a:solidFill>
                  <a:ln>
                    <a:noFill/>
                  </a:ln>
                  <a:effectLst/>
                </c:spPr>
                <c:invertIfNegative val="0"/>
                <c:cat>
                  <c:numRef>
                    <c:extLst>
                      <c:ext uri="{02D57815-91ED-43cb-92C2-25804820EDAC}">
                        <c15:fullRef>
                          <c15:sqref>'Cost Model_Calculations'!$D$154:$N$154</c15:sqref>
                        </c15:fullRef>
                        <c15:formulaRef>
                          <c15:sqref>('Cost Model_Calculations'!$I$154,'Cost Model_Calculations'!$N$154)</c15:sqref>
                        </c15:formulaRef>
                      </c:ext>
                    </c:extLst>
                    <c:numCache>
                      <c:formatCode>General</c:formatCode>
                      <c:ptCount val="2"/>
                      <c:pt idx="0">
                        <c:v>2025</c:v>
                      </c:pt>
                      <c:pt idx="1">
                        <c:v>2030</c:v>
                      </c:pt>
                    </c:numCache>
                  </c:numRef>
                </c:cat>
                <c:val>
                  <c:numRef>
                    <c:extLst>
                      <c:ext uri="{02D57815-91ED-43cb-92C2-25804820EDAC}">
                        <c15:fullRef>
                          <c15:sqref>'Cost Model_Calculations'!$D$162:$N$162</c15:sqref>
                        </c15:fullRef>
                        <c15:formulaRef>
                          <c15:sqref>('Cost Model_Calculations'!$I$162,'Cost Model_Calculations'!$N$162)</c15:sqref>
                        </c15:formulaRef>
                      </c:ext>
                    </c:extLst>
                    <c:numCache>
                      <c:formatCode>0.000</c:formatCode>
                      <c:ptCount val="2"/>
                      <c:pt idx="0">
                        <c:v>4.7739371850155685E-2</c:v>
                      </c:pt>
                      <c:pt idx="1">
                        <c:v>4.468098116169545E-2</c:v>
                      </c:pt>
                    </c:numCache>
                  </c:numRef>
                </c:val>
                <c:extLst>
                  <c:ext xmlns:c16="http://schemas.microsoft.com/office/drawing/2014/chart" uri="{C3380CC4-5D6E-409C-BE32-E72D297353CC}">
                    <c16:uniqueId val="{00000000-2F62-4EAD-8ED1-05155405F4CB}"/>
                  </c:ext>
                </c:extLst>
              </c15:ser>
            </c15:filteredBarSeries>
          </c:ext>
        </c:extLst>
      </c:barChart>
      <c:catAx>
        <c:axId val="127054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70541376"/>
        <c:crosses val="autoZero"/>
        <c:auto val="1"/>
        <c:lblAlgn val="ctr"/>
        <c:lblOffset val="100"/>
        <c:noMultiLvlLbl val="0"/>
      </c:catAx>
      <c:valAx>
        <c:axId val="127054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(USD/Wp)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70541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Domestic Module Costs - Monocrystalline</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'Cost Model_Calculations'!$B$177:$C$177</c:f>
              <c:strCache>
                <c:ptCount val="2"/>
                <c:pt idx="0">
                  <c:v>Overheads</c:v>
                </c:pt>
                <c:pt idx="1">
                  <c:v>USD/Wp</c:v>
                </c:pt>
              </c:strCache>
            </c:strRef>
          </c:tx>
          <c:spPr>
            <a:solidFill>
              <a:schemeClr val="accent1"/>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Model_Calculations'!$D$177:$N$177</c15:sqref>
                  </c15:fullRef>
                </c:ext>
              </c:extLst>
              <c:f>('Cost Model_Calculations'!$I$177,'Cost Model_Calculations'!$N$177)</c:f>
              <c:numCache>
                <c:formatCode>0.0000</c:formatCode>
                <c:ptCount val="2"/>
                <c:pt idx="0">
                  <c:v>8.7807330000000006E-3</c:v>
                </c:pt>
                <c:pt idx="1">
                  <c:v>8.8863030000000016E-3</c:v>
                </c:pt>
              </c:numCache>
            </c:numRef>
          </c:val>
          <c:extLst>
            <c:ext xmlns:c16="http://schemas.microsoft.com/office/drawing/2014/chart" uri="{C3380CC4-5D6E-409C-BE32-E72D297353CC}">
              <c16:uniqueId val="{00000000-A4CC-4A12-B496-F9A472FA797B}"/>
            </c:ext>
          </c:extLst>
        </c:ser>
        <c:ser>
          <c:idx val="1"/>
          <c:order val="1"/>
          <c:tx>
            <c:strRef>
              <c:f>'Cost Model_Calculations'!$B$178:$C$178</c:f>
              <c:strCache>
                <c:ptCount val="2"/>
                <c:pt idx="0">
                  <c:v>Electricity</c:v>
                </c:pt>
                <c:pt idx="1">
                  <c:v>USD/Wp</c:v>
                </c:pt>
              </c:strCache>
            </c:strRef>
          </c:tx>
          <c:spPr>
            <a:solidFill>
              <a:schemeClr val="accent2"/>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Model_Calculations'!$D$178:$N$178</c15:sqref>
                  </c15:fullRef>
                </c:ext>
              </c:extLst>
              <c:f>('Cost Model_Calculations'!$I$178,'Cost Model_Calculations'!$N$178)</c:f>
              <c:numCache>
                <c:formatCode>0.00000</c:formatCode>
                <c:ptCount val="2"/>
                <c:pt idx="0" formatCode="0.0000">
                  <c:v>2.2499999999999998E-3</c:v>
                </c:pt>
                <c:pt idx="1" formatCode="0.0000">
                  <c:v>2.0699999999999998E-3</c:v>
                </c:pt>
              </c:numCache>
            </c:numRef>
          </c:val>
          <c:extLst>
            <c:ext xmlns:c16="http://schemas.microsoft.com/office/drawing/2014/chart" uri="{C3380CC4-5D6E-409C-BE32-E72D297353CC}">
              <c16:uniqueId val="{00000001-A4CC-4A12-B496-F9A472FA797B}"/>
            </c:ext>
          </c:extLst>
        </c:ser>
        <c:ser>
          <c:idx val="2"/>
          <c:order val="2"/>
          <c:tx>
            <c:strRef>
              <c:f>'Cost Model_Calculations'!$B$179:$C$179</c:f>
              <c:strCache>
                <c:ptCount val="2"/>
                <c:pt idx="0">
                  <c:v>Building and facilities</c:v>
                </c:pt>
                <c:pt idx="1">
                  <c:v>USD/Wp</c:v>
                </c:pt>
              </c:strCache>
            </c:strRef>
          </c:tx>
          <c:spPr>
            <a:solidFill>
              <a:schemeClr val="accent3"/>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Model_Calculations'!$D$179:$N$179</c15:sqref>
                  </c15:fullRef>
                </c:ext>
              </c:extLst>
              <c:f>('Cost Model_Calculations'!$I$179,'Cost Model_Calculations'!$N$179)</c:f>
              <c:numCache>
                <c:formatCode>0.00000</c:formatCode>
                <c:ptCount val="2"/>
                <c:pt idx="0" formatCode="0.0000">
                  <c:v>1.5E-3</c:v>
                </c:pt>
                <c:pt idx="1" formatCode="0.0000">
                  <c:v>1.5E-3</c:v>
                </c:pt>
              </c:numCache>
            </c:numRef>
          </c:val>
          <c:extLst>
            <c:ext xmlns:c16="http://schemas.microsoft.com/office/drawing/2014/chart" uri="{C3380CC4-5D6E-409C-BE32-E72D297353CC}">
              <c16:uniqueId val="{00000002-A4CC-4A12-B496-F9A472FA797B}"/>
            </c:ext>
          </c:extLst>
        </c:ser>
        <c:ser>
          <c:idx val="3"/>
          <c:order val="3"/>
          <c:tx>
            <c:strRef>
              <c:f>'Cost Model_Calculations'!$B$180:$C$180</c:f>
              <c:strCache>
                <c:ptCount val="2"/>
                <c:pt idx="0">
                  <c:v>Equipment depreciation</c:v>
                </c:pt>
                <c:pt idx="1">
                  <c:v>USD/Wp</c:v>
                </c:pt>
              </c:strCache>
            </c:strRef>
          </c:tx>
          <c:spPr>
            <a:solidFill>
              <a:schemeClr val="accent4"/>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Model_Calculations'!$D$180:$N$180</c15:sqref>
                  </c15:fullRef>
                </c:ext>
              </c:extLst>
              <c:f>('Cost Model_Calculations'!$I$180,'Cost Model_Calculations'!$N$180)</c:f>
              <c:numCache>
                <c:formatCode>General</c:formatCode>
                <c:ptCount val="2"/>
                <c:pt idx="0" formatCode="0.0000">
                  <c:v>4.0000000000000001E-3</c:v>
                </c:pt>
                <c:pt idx="1" formatCode="0.0000">
                  <c:v>4.0000000000000001E-3</c:v>
                </c:pt>
              </c:numCache>
            </c:numRef>
          </c:val>
          <c:extLst>
            <c:ext xmlns:c16="http://schemas.microsoft.com/office/drawing/2014/chart" uri="{C3380CC4-5D6E-409C-BE32-E72D297353CC}">
              <c16:uniqueId val="{00000003-A4CC-4A12-B496-F9A472FA797B}"/>
            </c:ext>
          </c:extLst>
        </c:ser>
        <c:ser>
          <c:idx val="4"/>
          <c:order val="4"/>
          <c:tx>
            <c:strRef>
              <c:f>'Cost Model_Calculations'!$B$181:$C$181</c:f>
              <c:strCache>
                <c:ptCount val="2"/>
                <c:pt idx="0">
                  <c:v>Maintenance</c:v>
                </c:pt>
                <c:pt idx="1">
                  <c:v>USD/Wp</c:v>
                </c:pt>
              </c:strCache>
            </c:strRef>
          </c:tx>
          <c:spPr>
            <a:solidFill>
              <a:schemeClr val="accent5"/>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Model_Calculations'!$D$181:$N$181</c15:sqref>
                  </c15:fullRef>
                </c:ext>
              </c:extLst>
              <c:f>('Cost Model_Calculations'!$I$181,'Cost Model_Calculations'!$N$181)</c:f>
              <c:numCache>
                <c:formatCode>General</c:formatCode>
                <c:ptCount val="2"/>
                <c:pt idx="0" formatCode="0.0000">
                  <c:v>2E-3</c:v>
                </c:pt>
                <c:pt idx="1" formatCode="0.0000">
                  <c:v>2E-3</c:v>
                </c:pt>
              </c:numCache>
            </c:numRef>
          </c:val>
          <c:extLst>
            <c:ext xmlns:c16="http://schemas.microsoft.com/office/drawing/2014/chart" uri="{C3380CC4-5D6E-409C-BE32-E72D297353CC}">
              <c16:uniqueId val="{00000004-A4CC-4A12-B496-F9A472FA797B}"/>
            </c:ext>
          </c:extLst>
        </c:ser>
        <c:ser>
          <c:idx val="5"/>
          <c:order val="5"/>
          <c:tx>
            <c:strRef>
              <c:f>'Cost Model_Calculations'!$B$182:$C$182</c:f>
              <c:strCache>
                <c:ptCount val="2"/>
                <c:pt idx="0">
                  <c:v>Labour</c:v>
                </c:pt>
                <c:pt idx="1">
                  <c:v>USD/Wp</c:v>
                </c:pt>
              </c:strCache>
            </c:strRef>
          </c:tx>
          <c:spPr>
            <a:solidFill>
              <a:schemeClr val="accent6"/>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Model_Calculations'!$D$182:$N$182</c15:sqref>
                  </c15:fullRef>
                </c:ext>
              </c:extLst>
              <c:f>('Cost Model_Calculations'!$I$182,'Cost Model_Calculations'!$N$182)</c:f>
              <c:numCache>
                <c:formatCode>0.00000</c:formatCode>
                <c:ptCount val="2"/>
                <c:pt idx="0">
                  <c:v>1.7687999999999999E-2</c:v>
                </c:pt>
                <c:pt idx="1">
                  <c:v>1.7687999999999999E-2</c:v>
                </c:pt>
              </c:numCache>
            </c:numRef>
          </c:val>
          <c:extLst>
            <c:ext xmlns:c16="http://schemas.microsoft.com/office/drawing/2014/chart" uri="{C3380CC4-5D6E-409C-BE32-E72D297353CC}">
              <c16:uniqueId val="{00000005-A4CC-4A12-B496-F9A472FA797B}"/>
            </c:ext>
          </c:extLst>
        </c:ser>
        <c:ser>
          <c:idx val="6"/>
          <c:order val="6"/>
          <c:tx>
            <c:strRef>
              <c:f>'Cost Model_Calculations'!$B$183:$C$183</c:f>
              <c:strCache>
                <c:ptCount val="2"/>
                <c:pt idx="0">
                  <c:v>Other material</c:v>
                </c:pt>
                <c:pt idx="1">
                  <c:v>USD/Wp</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Model_Calculations'!$D$183:$N$183</c15:sqref>
                  </c15:fullRef>
                </c:ext>
              </c:extLst>
              <c:f>('Cost Model_Calculations'!$I$183,'Cost Model_Calculations'!$N$183)</c:f>
              <c:numCache>
                <c:formatCode>General</c:formatCode>
                <c:ptCount val="2"/>
                <c:pt idx="0">
                  <c:v>5.5E-2</c:v>
                </c:pt>
                <c:pt idx="1">
                  <c:v>5.5E-2</c:v>
                </c:pt>
              </c:numCache>
            </c:numRef>
          </c:val>
          <c:extLst>
            <c:ext xmlns:c16="http://schemas.microsoft.com/office/drawing/2014/chart" uri="{C3380CC4-5D6E-409C-BE32-E72D297353CC}">
              <c16:uniqueId val="{00000006-A4CC-4A12-B496-F9A472FA797B}"/>
            </c:ext>
          </c:extLst>
        </c:ser>
        <c:ser>
          <c:idx val="7"/>
          <c:order val="7"/>
          <c:tx>
            <c:strRef>
              <c:f>'Cost Model_Calculations'!$B$184:$C$184</c:f>
              <c:strCache>
                <c:ptCount val="2"/>
                <c:pt idx="0">
                  <c:v>ESG Certification</c:v>
                </c:pt>
                <c:pt idx="1">
                  <c:v>USD/Wp</c:v>
                </c:pt>
              </c:strCache>
            </c:strRef>
          </c:tx>
          <c:spPr>
            <a:solidFill>
              <a:schemeClr val="accent2">
                <a:lumMod val="60000"/>
              </a:schemeClr>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Model_Calculations'!$D$184:$N$184</c15:sqref>
                  </c15:fullRef>
                </c:ext>
              </c:extLst>
              <c:f>('Cost Model_Calculations'!$I$184,'Cost Model_Calculations'!$N$184)</c:f>
              <c:numCache>
                <c:formatCode>0.0000</c:formatCode>
                <c:ptCount val="2"/>
                <c:pt idx="0">
                  <c:v>2.3999999999999998E-3</c:v>
                </c:pt>
                <c:pt idx="1">
                  <c:v>3.5999999999999995E-3</c:v>
                </c:pt>
              </c:numCache>
            </c:numRef>
          </c:val>
          <c:extLst>
            <c:ext xmlns:c16="http://schemas.microsoft.com/office/drawing/2014/chart" uri="{C3380CC4-5D6E-409C-BE32-E72D297353CC}">
              <c16:uniqueId val="{00000007-A4CC-4A12-B496-F9A472FA797B}"/>
            </c:ext>
          </c:extLst>
        </c:ser>
        <c:ser>
          <c:idx val="9"/>
          <c:order val="9"/>
          <c:tx>
            <c:strRef>
              <c:f>'Cost Model_Calculations'!$B$186:$C$186</c:f>
              <c:strCache>
                <c:ptCount val="2"/>
                <c:pt idx="0">
                  <c:v>Operating profit</c:v>
                </c:pt>
                <c:pt idx="1">
                  <c:v>USD/Wp</c:v>
                </c:pt>
              </c:strCache>
            </c:strRef>
          </c:tx>
          <c:spPr>
            <a:solidFill>
              <a:schemeClr val="accent4">
                <a:lumMod val="60000"/>
              </a:schemeClr>
            </a:solidFill>
            <a:ln>
              <a:noFill/>
            </a:ln>
            <a:effectLst/>
          </c:spPr>
          <c:invertIfNegative val="0"/>
          <c:cat>
            <c:numRef>
              <c:extLst>
                <c:ext xmlns:c15="http://schemas.microsoft.com/office/drawing/2012/chart" uri="{02D57815-91ED-43cb-92C2-25804820EDAC}">
                  <c15:fullRef>
                    <c15:sqref>'Cost Model_Calculations'!$D$176:$N$176</c15:sqref>
                  </c15:fullRef>
                </c:ext>
              </c:extLst>
              <c:f>('Cost Model_Calculations'!$I$176,'Cost Model_Calculations'!$N$176)</c:f>
              <c:numCache>
                <c:formatCode>General</c:formatCode>
                <c:ptCount val="2"/>
                <c:pt idx="0">
                  <c:v>2025</c:v>
                </c:pt>
                <c:pt idx="1">
                  <c:v>2030</c:v>
                </c:pt>
              </c:numCache>
            </c:numRef>
          </c:cat>
          <c:val>
            <c:numRef>
              <c:extLst>
                <c:ext xmlns:c15="http://schemas.microsoft.com/office/drawing/2012/chart" uri="{02D57815-91ED-43cb-92C2-25804820EDAC}">
                  <c15:fullRef>
                    <c15:sqref>'Cost Model_Calculations'!$D$186:$N$186</c15:sqref>
                  </c15:fullRef>
                </c:ext>
              </c:extLst>
              <c:f>('Cost Model_Calculations'!$I$186,'Cost Model_Calculations'!$N$186)</c:f>
              <c:numCache>
                <c:formatCode>0.00000</c:formatCode>
                <c:ptCount val="2"/>
                <c:pt idx="0" formatCode="0.0000">
                  <c:v>1.27257E-2</c:v>
                </c:pt>
                <c:pt idx="1" formatCode="0.0000">
                  <c:v>1.28787E-2</c:v>
                </c:pt>
              </c:numCache>
            </c:numRef>
          </c:val>
          <c:extLst>
            <c:ext xmlns:c16="http://schemas.microsoft.com/office/drawing/2014/chart" uri="{C3380CC4-5D6E-409C-BE32-E72D297353CC}">
              <c16:uniqueId val="{00000001-D5C8-4E4D-998A-80A68AF872CC}"/>
            </c:ext>
          </c:extLst>
        </c:ser>
        <c:dLbls>
          <c:showLegendKey val="0"/>
          <c:showVal val="0"/>
          <c:showCatName val="0"/>
          <c:showSerName val="0"/>
          <c:showPercent val="0"/>
          <c:showBubbleSize val="0"/>
        </c:dLbls>
        <c:gapWidth val="55"/>
        <c:overlap val="100"/>
        <c:axId val="2010426432"/>
        <c:axId val="1593549792"/>
        <c:extLst>
          <c:ext xmlns:c15="http://schemas.microsoft.com/office/drawing/2012/chart" uri="{02D57815-91ED-43cb-92C2-25804820EDAC}">
            <c15:filteredBarSeries>
              <c15:ser>
                <c:idx val="8"/>
                <c:order val="8"/>
                <c:tx>
                  <c:strRef>
                    <c:extLst>
                      <c:ext uri="{02D57815-91ED-43cb-92C2-25804820EDAC}">
                        <c15:formulaRef>
                          <c15:sqref>'Cost Model_Calculations'!$B$185:$C$185</c15:sqref>
                        </c15:formulaRef>
                      </c:ext>
                    </c:extLst>
                    <c:strCache>
                      <c:ptCount val="2"/>
                      <c:pt idx="0">
                        <c:v>Final costs</c:v>
                      </c:pt>
                      <c:pt idx="1">
                        <c:v>USD/Wp</c:v>
                      </c:pt>
                    </c:strCache>
                  </c:strRef>
                </c:tx>
                <c:spPr>
                  <a:solidFill>
                    <a:schemeClr val="accent3">
                      <a:lumMod val="60000"/>
                    </a:schemeClr>
                  </a:solidFill>
                  <a:ln>
                    <a:noFill/>
                  </a:ln>
                  <a:effectLst/>
                </c:spPr>
                <c:invertIfNegative val="0"/>
                <c:cat>
                  <c:numRef>
                    <c:extLst>
                      <c:ext uri="{02D57815-91ED-43cb-92C2-25804820EDAC}">
                        <c15:fullRef>
                          <c15:sqref>'Cost Model_Calculations'!$D$176:$N$176</c15:sqref>
                        </c15:fullRef>
                        <c15:formulaRef>
                          <c15:sqref>('Cost Model_Calculations'!$I$176,'Cost Model_Calculations'!$N$176)</c15:sqref>
                        </c15:formulaRef>
                      </c:ext>
                    </c:extLst>
                    <c:numCache>
                      <c:formatCode>General</c:formatCode>
                      <c:ptCount val="2"/>
                      <c:pt idx="0">
                        <c:v>2025</c:v>
                      </c:pt>
                      <c:pt idx="1">
                        <c:v>2030</c:v>
                      </c:pt>
                    </c:numCache>
                  </c:numRef>
                </c:cat>
                <c:val>
                  <c:numRef>
                    <c:extLst>
                      <c:ext uri="{02D57815-91ED-43cb-92C2-25804820EDAC}">
                        <c15:fullRef>
                          <c15:sqref>'Cost Model_Calculations'!$D$185:$N$185</c15:sqref>
                        </c15:fullRef>
                        <c15:formulaRef>
                          <c15:sqref>('Cost Model_Calculations'!$I$185,'Cost Model_Calculations'!$N$185)</c15:sqref>
                        </c15:formulaRef>
                      </c:ext>
                    </c:extLst>
                    <c:numCache>
                      <c:formatCode>0.00000</c:formatCode>
                      <c:ptCount val="2"/>
                      <c:pt idx="0" formatCode="0.0000">
                        <c:v>8.4837999999999997E-2</c:v>
                      </c:pt>
                      <c:pt idx="1" formatCode="0.0000">
                        <c:v>8.5858000000000004E-2</c:v>
                      </c:pt>
                    </c:numCache>
                  </c:numRef>
                </c:val>
                <c:extLst>
                  <c:ext xmlns:c16="http://schemas.microsoft.com/office/drawing/2014/chart" uri="{C3380CC4-5D6E-409C-BE32-E72D297353CC}">
                    <c16:uniqueId val="{00000000-D5C8-4E4D-998A-80A68AF872CC}"/>
                  </c:ext>
                </c:extLst>
              </c15:ser>
            </c15:filteredBarSeries>
          </c:ext>
        </c:extLst>
      </c:barChart>
      <c:catAx>
        <c:axId val="201042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93549792"/>
        <c:crosses val="autoZero"/>
        <c:auto val="1"/>
        <c:lblAlgn val="ctr"/>
        <c:lblOffset val="100"/>
        <c:noMultiLvlLbl val="0"/>
      </c:catAx>
      <c:valAx>
        <c:axId val="1593549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Total Cost (USD/Wp)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010426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_xlchart.v1.8</cx:f>
      </cx:numDim>
    </cx:data>
  </cx:chartData>
  <cx:chart>
    <cx:title pos="t" align="ctr" overlay="0">
      <cx:tx>
        <cx:txData>
          <cx:v>TOPCon - Module Cost Composition (2025, USD/Wp)</cx:v>
        </cx:txData>
      </cx:tx>
      <cx:txPr>
        <a:bodyPr spcFirstLastPara="1" vertOverflow="ellipsis" horzOverflow="overflow" wrap="square" lIns="0" tIns="0" rIns="0" bIns="0" anchor="ctr" anchorCtr="1"/>
        <a:lstStyle/>
        <a:p>
          <a:pPr algn="ctr" rtl="0">
            <a:defRPr/>
          </a:pPr>
          <a:r>
            <a:rPr lang="en-US" sz="1400" b="1" i="0" u="none" strike="noStrike" baseline="0">
              <a:solidFill>
                <a:sysClr val="windowText" lastClr="000000">
                  <a:lumMod val="65000"/>
                  <a:lumOff val="35000"/>
                </a:sysClr>
              </a:solidFill>
              <a:latin typeface="Aptos Narrow" panose="02110004020202020204"/>
            </a:rPr>
            <a:t>TOPCon - Module Cost Composition (2025, USD/Wp)</a:t>
          </a:r>
        </a:p>
      </cx:txPr>
    </cx:title>
    <cx:plotArea>
      <cx:plotAreaRegion>
        <cx:series layoutId="waterfall" uniqueId="{EBF3AB8B-7C31-41B7-B1EC-0E4EA9D47BE2}" formatIdx="0">
          <cx:tx>
            <cx:txData>
              <cx:f>_xlchart.v1.7</cx:f>
              <cx:v>Value (USD/Wp)</cx:v>
            </cx:txData>
          </cx:tx>
          <cx:data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dataLabels>
          <cx:dataId val="0"/>
          <cx:layoutPr>
            <cx:subtotals>
              <cx:idx val="4"/>
            </cx:subtotals>
          </cx:layoutPr>
        </cx:series>
      </cx:plotAreaRegion>
      <cx:axis id="0">
        <cx:catScaling gapWidth="0.5"/>
        <cx:tickLabels/>
        <cx:txPr>
          <a:bodyPr spcFirstLastPara="1" vertOverflow="ellipsis" horzOverflow="overflow" wrap="square" lIns="0" tIns="0" rIns="0" bIns="0" anchor="ctr" anchorCtr="1"/>
          <a:lstStyle/>
          <a:p>
            <a:pPr algn="ctr" rtl="0">
              <a:defRPr sz="1200"/>
            </a:pPr>
            <a:endParaRPr lang="en-GB" sz="1200" b="0" i="0" u="none" strike="noStrike" baseline="0">
              <a:solidFill>
                <a:sysClr val="windowText" lastClr="000000">
                  <a:lumMod val="65000"/>
                  <a:lumOff val="35000"/>
                </a:sysClr>
              </a:solidFill>
              <a:latin typeface="Aptos Narrow" panose="02110004020202020204"/>
            </a:endParaRPr>
          </a:p>
        </cx:txPr>
      </cx:axis>
      <cx:axis id="1">
        <cx:valScaling/>
        <cx:title>
          <cx:tx>
            <cx:txData>
              <cx:v>USD/Wp</cx:v>
            </cx:txData>
          </cx:tx>
          <cx:txPr>
            <a:bodyPr spcFirstLastPara="1" vertOverflow="ellipsis" horzOverflow="overflow" wrap="square" lIns="0" tIns="0" rIns="0" bIns="0" anchor="ctr" anchorCtr="1"/>
            <a:lstStyle/>
            <a:p>
              <a:pPr algn="ctr" rtl="0">
                <a:defRPr sz="1200"/>
              </a:pPr>
              <a:r>
                <a:rPr lang="en-US" sz="1200" b="0" i="0" u="none" strike="noStrike" baseline="0">
                  <a:solidFill>
                    <a:sysClr val="windowText" lastClr="000000">
                      <a:lumMod val="65000"/>
                      <a:lumOff val="35000"/>
                    </a:sysClr>
                  </a:solidFill>
                  <a:latin typeface="Aptos Narrow" panose="02110004020202020204"/>
                </a:rPr>
                <a:t>USD/Wp</a:t>
              </a:r>
            </a:p>
          </cx:txPr>
        </cx:title>
        <cx:majorGridlines/>
        <cx:tickLabels/>
        <cx:txPr>
          <a:bodyPr spcFirstLastPara="1" vertOverflow="ellipsis" horzOverflow="overflow" wrap="square" lIns="0" tIns="0" rIns="0" bIns="0" anchor="ctr" anchorCtr="1"/>
          <a:lstStyle/>
          <a:p>
            <a:pPr algn="ctr" rtl="0">
              <a:defRPr sz="1200"/>
            </a:pPr>
            <a:endParaRPr lang="en-GB" sz="1200" b="0" i="0" u="none" strike="noStrike" baseline="0">
              <a:solidFill>
                <a:sysClr val="windowText" lastClr="000000">
                  <a:lumMod val="65000"/>
                  <a:lumOff val="35000"/>
                </a:sysClr>
              </a:solidFill>
              <a:latin typeface="Aptos Narrow" panose="02110004020202020204"/>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title pos="t" align="ctr" overlay="0">
      <cx:tx>
        <cx:txData>
          <cx:v>TOPCon - Module Cost Composition (2030, USD/Wp)</cx:v>
        </cx:txData>
      </cx:tx>
      <cx:txPr>
        <a:bodyPr spcFirstLastPara="1" vertOverflow="ellipsis" horzOverflow="overflow" wrap="square" lIns="0" tIns="0" rIns="0" bIns="0" anchor="ctr" anchorCtr="1"/>
        <a:lstStyle/>
        <a:p>
          <a:pPr algn="ctr" rtl="0">
            <a:defRPr sz="1200"/>
          </a:pPr>
          <a:r>
            <a:rPr lang="en-US" sz="1200" b="1" i="0" u="none" strike="noStrike" baseline="0">
              <a:solidFill>
                <a:sysClr val="windowText" lastClr="000000">
                  <a:lumMod val="65000"/>
                  <a:lumOff val="35000"/>
                </a:sysClr>
              </a:solidFill>
              <a:latin typeface="Aptos Narrow" panose="02110004020202020204"/>
            </a:rPr>
            <a:t>TOPCon - Module Cost Composition (2030, USD/Wp)</a:t>
          </a:r>
        </a:p>
      </cx:txPr>
    </cx:title>
    <cx:plotArea>
      <cx:plotAreaRegion>
        <cx:series layoutId="waterfall" uniqueId="{E35DD0CB-2438-454D-9F45-A23667BAB48C}" formatIdx="0">
          <cx:tx>
            <cx:txData>
              <cx:f>_xlchart.v1.4</cx:f>
              <cx:v>Value (USD/Wp)</cx:v>
            </cx:txData>
          </cx:tx>
          <cx:dataLabels>
            <cx:txPr>
              <a:bodyPr vertOverflow="overflow" horzOverflow="overflow" wrap="square" lIns="0" tIns="0" rIns="0" bIns="0"/>
              <a:lstStyle/>
              <a:p>
                <a:pPr algn="ctr" rtl="0">
                  <a:defRPr sz="1200" b="0" i="0">
                    <a:solidFill>
                      <a:srgbClr val="595959"/>
                    </a:solidFill>
                    <a:latin typeface="Aptos Narrow" panose="020B0004020202020204" pitchFamily="34" charset="0"/>
                    <a:ea typeface="Aptos Narrow" panose="020B0004020202020204" pitchFamily="34" charset="0"/>
                    <a:cs typeface="Aptos Narrow" panose="020B0004020202020204" pitchFamily="34" charset="0"/>
                  </a:defRPr>
                </a:pPr>
                <a:endParaRPr lang="en-GB" sz="1200"/>
              </a:p>
            </cx:txPr>
          </cx:dataLabels>
          <cx:dataId val="0"/>
          <cx:layoutPr>
            <cx:subtotals>
              <cx:idx val="4"/>
            </cx:subtotals>
          </cx:layoutPr>
        </cx:series>
      </cx:plotAreaRegion>
      <cx:axis id="0">
        <cx:catScaling gapWidth="0.5"/>
        <cx:tickLabels/>
        <cx:txPr>
          <a:bodyPr vertOverflow="overflow" horzOverflow="overflow" wrap="square" lIns="0" tIns="0" rIns="0" bIns="0"/>
          <a:lstStyle/>
          <a:p>
            <a:pPr algn="ctr" rtl="0">
              <a:defRPr sz="1200" b="0" i="0">
                <a:solidFill>
                  <a:srgbClr val="595959"/>
                </a:solidFill>
                <a:latin typeface="Aptos Narrow" panose="020B0004020202020204" pitchFamily="34" charset="0"/>
                <a:ea typeface="Aptos Narrow" panose="020B0004020202020204" pitchFamily="34" charset="0"/>
                <a:cs typeface="Aptos Narrow" panose="020B0004020202020204" pitchFamily="34" charset="0"/>
              </a:defRPr>
            </a:pPr>
            <a:endParaRPr lang="en-GB" sz="1200"/>
          </a:p>
        </cx:txPr>
      </cx:axis>
      <cx:axis id="1">
        <cx:valScaling/>
        <cx:title>
          <cx:tx>
            <cx:txData>
              <cx:v>USD/Wp</cx:v>
            </cx:txData>
          </cx:tx>
          <cx:txPr>
            <a:bodyPr spcFirstLastPara="1" vertOverflow="ellipsis" horzOverflow="overflow" wrap="square" lIns="0" tIns="0" rIns="0" bIns="0" anchor="ctr" anchorCtr="1"/>
            <a:lstStyle/>
            <a:p>
              <a:pPr algn="ctr" rtl="0">
                <a:defRPr sz="1200"/>
              </a:pPr>
              <a:r>
                <a:rPr lang="en-US" sz="1200" b="0" i="0" u="none" strike="noStrike" baseline="0">
                  <a:solidFill>
                    <a:sysClr val="windowText" lastClr="000000">
                      <a:lumMod val="65000"/>
                      <a:lumOff val="35000"/>
                    </a:sysClr>
                  </a:solidFill>
                  <a:latin typeface="Aptos Narrow" panose="02110004020202020204"/>
                </a:rPr>
                <a:t>USD/Wp</a:t>
              </a:r>
            </a:p>
          </cx:txPr>
        </cx:title>
        <cx:majorGridlines/>
        <cx:tickLabels/>
        <cx:txPr>
          <a:bodyPr vertOverflow="overflow" horzOverflow="overflow" wrap="square" lIns="0" tIns="0" rIns="0" bIns="0"/>
          <a:lstStyle/>
          <a:p>
            <a:pPr algn="ctr" rtl="0">
              <a:defRPr sz="1200" b="0" i="0">
                <a:solidFill>
                  <a:srgbClr val="595959"/>
                </a:solidFill>
                <a:latin typeface="Aptos Narrow" panose="020B0004020202020204" pitchFamily="34" charset="0"/>
                <a:ea typeface="Aptos Narrow" panose="020B0004020202020204" pitchFamily="34" charset="0"/>
                <a:cs typeface="Aptos Narrow" panose="020B0004020202020204" pitchFamily="34" charset="0"/>
              </a:defRPr>
            </a:pPr>
            <a:endParaRPr lang="en-GB" sz="1200"/>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val">
        <cx:f>_xlchart.v1.11</cx:f>
      </cx:numDim>
    </cx:data>
  </cx:chartData>
  <cx:chart>
    <cx:title pos="t" align="ctr" overlay="0">
      <cx:tx>
        <cx:txData>
          <cx:v>Monocrystalline - Module Cost Composition (2025, USD/Wp)</cx:v>
        </cx:txData>
      </cx:tx>
      <cx:txPr>
        <a:bodyPr spcFirstLastPara="1" vertOverflow="ellipsis" horzOverflow="overflow" wrap="square" lIns="0" tIns="0" rIns="0" bIns="0" anchor="ctr" anchorCtr="1"/>
        <a:lstStyle/>
        <a:p>
          <a:pPr algn="ctr" rtl="0">
            <a:defRPr/>
          </a:pPr>
          <a:r>
            <a:rPr lang="en-US" sz="1400" b="1" i="0" u="none" strike="noStrike" baseline="0">
              <a:solidFill>
                <a:sysClr val="windowText" lastClr="000000">
                  <a:lumMod val="65000"/>
                  <a:lumOff val="35000"/>
                </a:sysClr>
              </a:solidFill>
              <a:latin typeface="Aptos Narrow" panose="02110004020202020204"/>
            </a:rPr>
            <a:t>Monocrystalline - Module Cost Composition (2025, USD/Wp)</a:t>
          </a:r>
        </a:p>
      </cx:txPr>
    </cx:title>
    <cx:plotArea>
      <cx:plotAreaRegion>
        <cx:series layoutId="waterfall" uniqueId="{8CC5943E-994E-41E1-8985-048745A2ED78}" formatIdx="0">
          <cx:tx>
            <cx:txData>
              <cx:f>_xlchart.v1.10</cx:f>
              <cx:v>Value (USD/Wp)</cx:v>
            </cx:txData>
          </cx:tx>
          <cx:data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dataLabels>
          <cx:dataId val="0"/>
          <cx:layoutPr>
            <cx:subtotals>
              <cx:idx val="4"/>
            </cx:subtotals>
          </cx:layoutPr>
        </cx:series>
      </cx:plotAreaRegion>
      <cx:axis id="0">
        <cx:catScaling gapWidth="0.5"/>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1">
        <cx:valScaling/>
        <cx:title>
          <cx:tx>
            <cx:txData>
              <cx:v>USD/Wp</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Aptos Narrow" panose="02110004020202020204"/>
                </a:rPr>
                <a:t>USD/Wp</a:t>
              </a:r>
            </a:p>
          </cx:txPr>
        </cx:title>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txData>
          <cx:v>Monocrystalline - Module Cost Composition (2030, USD/Wp)</cx:v>
        </cx:txData>
      </cx:tx>
      <cx:txPr>
        <a:bodyPr spcFirstLastPara="1" vertOverflow="ellipsis" horzOverflow="overflow" wrap="square" lIns="0" tIns="0" rIns="0" bIns="0" anchor="ctr" anchorCtr="1"/>
        <a:lstStyle/>
        <a:p>
          <a:pPr algn="ctr" rtl="0">
            <a:defRPr/>
          </a:pPr>
          <a:r>
            <a:rPr lang="en-US" sz="1400" b="1" i="0" u="none" strike="noStrike" baseline="0">
              <a:solidFill>
                <a:sysClr val="windowText" lastClr="000000">
                  <a:lumMod val="65000"/>
                  <a:lumOff val="35000"/>
                </a:sysClr>
              </a:solidFill>
              <a:latin typeface="Aptos Narrow" panose="02110004020202020204"/>
            </a:rPr>
            <a:t>Monocrystalline - Module Cost Composition (2030, USD/Wp)</a:t>
          </a:r>
        </a:p>
      </cx:txPr>
    </cx:title>
    <cx:plotArea>
      <cx:plotAreaRegion>
        <cx:series layoutId="waterfall" uniqueId="{E6BFC0AB-09C0-419C-9C8F-DB6255D5342B}" formatIdx="0">
          <cx:tx>
            <cx:txData>
              <cx:f>_xlchart.v1.1</cx:f>
              <cx:v>Value (USD/Wp)</cx:v>
            </cx:txData>
          </cx:tx>
          <cx:data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dataLabels>
          <cx:dataId val="0"/>
          <cx:layoutPr>
            <cx:subtotals>
              <cx:idx val="4"/>
            </cx:subtotals>
          </cx:layoutPr>
        </cx:series>
      </cx:plotAreaRegion>
      <cx:axis id="0">
        <cx:catScaling gapWidth="0.5"/>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1">
        <cx:valScaling/>
        <cx:title>
          <cx:tx>
            <cx:txData>
              <cx:v>USD/Wp</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Aptos Narrow" panose="02110004020202020204"/>
                </a:rPr>
                <a:t>USD/Wp</a:t>
              </a:r>
            </a:p>
          </cx:txPr>
        </cx:title>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microsoft.com/office/2014/relationships/chartEx" Target="../charts/chartEx4.xml"/><Relationship Id="rId3" Type="http://schemas.openxmlformats.org/officeDocument/2006/relationships/chart" Target="../charts/chart3.xml"/><Relationship Id="rId7" Type="http://schemas.openxmlformats.org/officeDocument/2006/relationships/chart" Target="../charts/chart7.xml"/><Relationship Id="rId12" Type="http://schemas.microsoft.com/office/2014/relationships/chartEx" Target="../charts/chartEx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microsoft.com/office/2014/relationships/chartEx" Target="../charts/chartEx2.xml"/><Relationship Id="rId5" Type="http://schemas.openxmlformats.org/officeDocument/2006/relationships/chart" Target="../charts/chart5.xml"/><Relationship Id="rId10" Type="http://schemas.microsoft.com/office/2014/relationships/chartEx" Target="../charts/chartEx1.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7938</xdr:colOff>
      <xdr:row>0</xdr:row>
      <xdr:rowOff>0</xdr:rowOff>
    </xdr:from>
    <xdr:to>
      <xdr:col>19</xdr:col>
      <xdr:colOff>246927</xdr:colOff>
      <xdr:row>79</xdr:row>
      <xdr:rowOff>127000</xdr:rowOff>
    </xdr:to>
    <xdr:pic>
      <xdr:nvPicPr>
        <xdr:cNvPr id="3" name="Picture 2">
          <a:extLst>
            <a:ext uri="{FF2B5EF4-FFF2-40B4-BE49-F238E27FC236}">
              <a16:creationId xmlns:a16="http://schemas.microsoft.com/office/drawing/2014/main" id="{EC986EC6-9A0C-DB50-FE60-3763DD359233}"/>
            </a:ext>
          </a:extLst>
        </xdr:cNvPr>
        <xdr:cNvPicPr>
          <a:picLocks noChangeAspect="1"/>
        </xdr:cNvPicPr>
      </xdr:nvPicPr>
      <xdr:blipFill>
        <a:blip xmlns:r="http://schemas.openxmlformats.org/officeDocument/2006/relationships" r:embed="rId1"/>
        <a:stretch>
          <a:fillRect/>
        </a:stretch>
      </xdr:blipFill>
      <xdr:spPr>
        <a:xfrm>
          <a:off x="7938" y="0"/>
          <a:ext cx="11901822" cy="15176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77878</xdr:colOff>
      <xdr:row>0</xdr:row>
      <xdr:rowOff>0</xdr:rowOff>
    </xdr:from>
    <xdr:to>
      <xdr:col>17</xdr:col>
      <xdr:colOff>53915</xdr:colOff>
      <xdr:row>7</xdr:row>
      <xdr:rowOff>109592</xdr:rowOff>
    </xdr:to>
    <xdr:pic>
      <xdr:nvPicPr>
        <xdr:cNvPr id="5" name="Picture 4">
          <a:extLst>
            <a:ext uri="{FF2B5EF4-FFF2-40B4-BE49-F238E27FC236}">
              <a16:creationId xmlns:a16="http://schemas.microsoft.com/office/drawing/2014/main" id="{172324EA-1C32-4C4D-B8DB-1BCEBA10AA6D}"/>
            </a:ext>
          </a:extLst>
        </xdr:cNvPr>
        <xdr:cNvPicPr>
          <a:picLocks noChangeAspect="1"/>
        </xdr:cNvPicPr>
      </xdr:nvPicPr>
      <xdr:blipFill>
        <a:blip xmlns:r="http://schemas.openxmlformats.org/officeDocument/2006/relationships" r:embed="rId1"/>
        <a:stretch>
          <a:fillRect/>
        </a:stretch>
      </xdr:blipFill>
      <xdr:spPr>
        <a:xfrm>
          <a:off x="1653397" y="0"/>
          <a:ext cx="10315754" cy="20804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342900</xdr:colOff>
      <xdr:row>5</xdr:row>
      <xdr:rowOff>3810</xdr:rowOff>
    </xdr:from>
    <xdr:to>
      <xdr:col>11</xdr:col>
      <xdr:colOff>750570</xdr:colOff>
      <xdr:row>16</xdr:row>
      <xdr:rowOff>137160</xdr:rowOff>
    </xdr:to>
    <xdr:sp macro="" textlink="">
      <xdr:nvSpPr>
        <xdr:cNvPr id="2" name="TextBox 1">
          <a:extLst>
            <a:ext uri="{FF2B5EF4-FFF2-40B4-BE49-F238E27FC236}">
              <a16:creationId xmlns:a16="http://schemas.microsoft.com/office/drawing/2014/main" id="{2C25E94C-70CF-4989-A52A-AACE8D175036}"/>
            </a:ext>
          </a:extLst>
        </xdr:cNvPr>
        <xdr:cNvSpPr txBox="1"/>
      </xdr:nvSpPr>
      <xdr:spPr>
        <a:xfrm>
          <a:off x="8637270" y="918210"/>
          <a:ext cx="3451860" cy="2145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b="1" baseline="0"/>
            <a:t> on inputs</a:t>
          </a:r>
        </a:p>
        <a:p>
          <a:r>
            <a:rPr lang="en-US" sz="1100" b="1"/>
            <a:t>Model Logic: </a:t>
          </a:r>
          <a:r>
            <a:rPr lang="en-US" sz="1100"/>
            <a:t>The component sourcing options are dynamically dependent on the primary country of manufacture selected in cell C3. A component's source can only be defined as "Domestic" when its country of origin is the same as the selected manufacturing country.</a:t>
          </a:r>
        </a:p>
        <a:p>
          <a:r>
            <a:rPr lang="en-US" sz="1100" b="1"/>
            <a:t>Required Action: </a:t>
          </a:r>
          <a:r>
            <a:rPr lang="en-US" sz="1100"/>
            <a:t>If you change the primary country of manufacture (cell C3), you must re-select an option from each component sourcing dropdown menu. This action is required to refresh the list of valid choices and ensure the model calculates correctly based on your new scenario.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205809</xdr:colOff>
      <xdr:row>4</xdr:row>
      <xdr:rowOff>13493</xdr:rowOff>
    </xdr:from>
    <xdr:to>
      <xdr:col>12</xdr:col>
      <xdr:colOff>351065</xdr:colOff>
      <xdr:row>26</xdr:row>
      <xdr:rowOff>85724</xdr:rowOff>
    </xdr:to>
    <xdr:graphicFrame macro="">
      <xdr:nvGraphicFramePr>
        <xdr:cNvPr id="35" name="Chart 2">
          <a:extLst>
            <a:ext uri="{FF2B5EF4-FFF2-40B4-BE49-F238E27FC236}">
              <a16:creationId xmlns:a16="http://schemas.microsoft.com/office/drawing/2014/main" id="{BADB32CB-85DD-76C9-F8A2-4A0FACA2D8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231572</xdr:colOff>
      <xdr:row>27</xdr:row>
      <xdr:rowOff>157692</xdr:rowOff>
    </xdr:from>
    <xdr:to>
      <xdr:col>10</xdr:col>
      <xdr:colOff>423332</xdr:colOff>
      <xdr:row>49</xdr:row>
      <xdr:rowOff>105833</xdr:rowOff>
    </xdr:to>
    <xdr:graphicFrame macro="">
      <xdr:nvGraphicFramePr>
        <xdr:cNvPr id="15" name="Chart 1">
          <a:extLst>
            <a:ext uri="{FF2B5EF4-FFF2-40B4-BE49-F238E27FC236}">
              <a16:creationId xmlns:a16="http://schemas.microsoft.com/office/drawing/2014/main" id="{6CFB1F07-5E27-C206-1CFC-D129C37A6F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206376</xdr:colOff>
      <xdr:row>50</xdr:row>
      <xdr:rowOff>73025</xdr:rowOff>
    </xdr:from>
    <xdr:to>
      <xdr:col>12</xdr:col>
      <xdr:colOff>328083</xdr:colOff>
      <xdr:row>72</xdr:row>
      <xdr:rowOff>95250</xdr:rowOff>
    </xdr:to>
    <xdr:graphicFrame macro="">
      <xdr:nvGraphicFramePr>
        <xdr:cNvPr id="3" name="Chart 2">
          <a:extLst>
            <a:ext uri="{FF2B5EF4-FFF2-40B4-BE49-F238E27FC236}">
              <a16:creationId xmlns:a16="http://schemas.microsoft.com/office/drawing/2014/main" id="{8DDD4F15-C7A1-6373-6329-526D075A8D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587374</xdr:colOff>
      <xdr:row>50</xdr:row>
      <xdr:rowOff>125942</xdr:rowOff>
    </xdr:from>
    <xdr:to>
      <xdr:col>25</xdr:col>
      <xdr:colOff>10582</xdr:colOff>
      <xdr:row>72</xdr:row>
      <xdr:rowOff>52917</xdr:rowOff>
    </xdr:to>
    <xdr:graphicFrame macro="">
      <xdr:nvGraphicFramePr>
        <xdr:cNvPr id="5" name="Chart 4">
          <a:extLst>
            <a:ext uri="{FF2B5EF4-FFF2-40B4-BE49-F238E27FC236}">
              <a16:creationId xmlns:a16="http://schemas.microsoft.com/office/drawing/2014/main" id="{54DA9B1D-1DFD-ADC2-F12C-34453FE3B7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150813</xdr:colOff>
      <xdr:row>74</xdr:row>
      <xdr:rowOff>17463</xdr:rowOff>
    </xdr:from>
    <xdr:to>
      <xdr:col>12</xdr:col>
      <xdr:colOff>301625</xdr:colOff>
      <xdr:row>96</xdr:row>
      <xdr:rowOff>142875</xdr:rowOff>
    </xdr:to>
    <xdr:graphicFrame macro="">
      <xdr:nvGraphicFramePr>
        <xdr:cNvPr id="7" name="Chart 6">
          <a:extLst>
            <a:ext uri="{FF2B5EF4-FFF2-40B4-BE49-F238E27FC236}">
              <a16:creationId xmlns:a16="http://schemas.microsoft.com/office/drawing/2014/main" id="{92D02BFA-CE55-2496-2257-C004910E19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531812</xdr:colOff>
      <xdr:row>74</xdr:row>
      <xdr:rowOff>17462</xdr:rowOff>
    </xdr:from>
    <xdr:to>
      <xdr:col>25</xdr:col>
      <xdr:colOff>31749</xdr:colOff>
      <xdr:row>96</xdr:row>
      <xdr:rowOff>126999</xdr:rowOff>
    </xdr:to>
    <xdr:graphicFrame macro="">
      <xdr:nvGraphicFramePr>
        <xdr:cNvPr id="8" name="Chart 7">
          <a:extLst>
            <a:ext uri="{FF2B5EF4-FFF2-40B4-BE49-F238E27FC236}">
              <a16:creationId xmlns:a16="http://schemas.microsoft.com/office/drawing/2014/main" id="{61C9C399-816D-A93E-8039-5BF9957753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198438</xdr:colOff>
      <xdr:row>97</xdr:row>
      <xdr:rowOff>128588</xdr:rowOff>
    </xdr:from>
    <xdr:to>
      <xdr:col>12</xdr:col>
      <xdr:colOff>285750</xdr:colOff>
      <xdr:row>120</xdr:row>
      <xdr:rowOff>31750</xdr:rowOff>
    </xdr:to>
    <xdr:graphicFrame macro="">
      <xdr:nvGraphicFramePr>
        <xdr:cNvPr id="9" name="Chart 8">
          <a:extLst>
            <a:ext uri="{FF2B5EF4-FFF2-40B4-BE49-F238E27FC236}">
              <a16:creationId xmlns:a16="http://schemas.microsoft.com/office/drawing/2014/main" id="{63ED6405-0532-4587-381F-5FF0BCC24A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592772</xdr:colOff>
      <xdr:row>121</xdr:row>
      <xdr:rowOff>114618</xdr:rowOff>
    </xdr:from>
    <xdr:to>
      <xdr:col>25</xdr:col>
      <xdr:colOff>124459</xdr:colOff>
      <xdr:row>144</xdr:row>
      <xdr:rowOff>81280</xdr:rowOff>
    </xdr:to>
    <xdr:graphicFrame macro="">
      <xdr:nvGraphicFramePr>
        <xdr:cNvPr id="182" name="Chart 9">
          <a:extLst>
            <a:ext uri="{FF2B5EF4-FFF2-40B4-BE49-F238E27FC236}">
              <a16:creationId xmlns:a16="http://schemas.microsoft.com/office/drawing/2014/main" id="{2742F1FD-0AED-028B-030F-B3B2EE639A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166687</xdr:colOff>
      <xdr:row>121</xdr:row>
      <xdr:rowOff>80962</xdr:rowOff>
    </xdr:from>
    <xdr:to>
      <xdr:col>12</xdr:col>
      <xdr:colOff>269874</xdr:colOff>
      <xdr:row>145</xdr:row>
      <xdr:rowOff>31749</xdr:rowOff>
    </xdr:to>
    <xdr:graphicFrame macro="">
      <xdr:nvGraphicFramePr>
        <xdr:cNvPr id="10" name="Chart 10">
          <a:extLst>
            <a:ext uri="{FF2B5EF4-FFF2-40B4-BE49-F238E27FC236}">
              <a16:creationId xmlns:a16="http://schemas.microsoft.com/office/drawing/2014/main" id="{7D4FC17D-BF5B-B9DE-BCC2-4820E562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934720</xdr:colOff>
      <xdr:row>148</xdr:row>
      <xdr:rowOff>39370</xdr:rowOff>
    </xdr:from>
    <xdr:to>
      <xdr:col>12</xdr:col>
      <xdr:colOff>246380</xdr:colOff>
      <xdr:row>171</xdr:row>
      <xdr:rowOff>128270</xdr:rowOff>
    </xdr:to>
    <mc:AlternateContent xmlns:mc="http://schemas.openxmlformats.org/markup-compatibility/2006">
      <mc:Choice xmlns:cx1="http://schemas.microsoft.com/office/drawing/2015/9/8/chartex" Requires="cx1">
        <xdr:graphicFrame macro="">
          <xdr:nvGraphicFramePr>
            <xdr:cNvPr id="18" name="Chart 13">
              <a:extLst>
                <a:ext uri="{FF2B5EF4-FFF2-40B4-BE49-F238E27FC236}">
                  <a16:creationId xmlns:a16="http://schemas.microsoft.com/office/drawing/2014/main" id="{C7238FAF-BDE3-FB54-F93B-2C42A5CE4E6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1074420" y="27763470"/>
              <a:ext cx="7376160" cy="43973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317500</xdr:colOff>
      <xdr:row>148</xdr:row>
      <xdr:rowOff>80010</xdr:rowOff>
    </xdr:from>
    <xdr:to>
      <xdr:col>27</xdr:col>
      <xdr:colOff>574040</xdr:colOff>
      <xdr:row>170</xdr:row>
      <xdr:rowOff>99060</xdr:rowOff>
    </xdr:to>
    <mc:AlternateContent xmlns:mc="http://schemas.openxmlformats.org/markup-compatibility/2006">
      <mc:Choice xmlns:cx1="http://schemas.microsoft.com/office/drawing/2015/9/8/chartex" Requires="cx1">
        <xdr:graphicFrame macro="">
          <xdr:nvGraphicFramePr>
            <xdr:cNvPr id="19" name="Chart 14">
              <a:extLst>
                <a:ext uri="{FF2B5EF4-FFF2-40B4-BE49-F238E27FC236}">
                  <a16:creationId xmlns:a16="http://schemas.microsoft.com/office/drawing/2014/main" id="{51E77E9B-A52C-86EE-1DBB-E75F2812A3D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9715500" y="27804110"/>
              <a:ext cx="8016240" cy="4140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906780</xdr:colOff>
      <xdr:row>172</xdr:row>
      <xdr:rowOff>52070</xdr:rowOff>
    </xdr:from>
    <xdr:to>
      <xdr:col>12</xdr:col>
      <xdr:colOff>269240</xdr:colOff>
      <xdr:row>194</xdr:row>
      <xdr:rowOff>109220</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BC0106CE-7607-4E66-9861-60E4B9F4F09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046480" y="32271970"/>
              <a:ext cx="7426960" cy="41783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454414</xdr:colOff>
      <xdr:row>171</xdr:row>
      <xdr:rowOff>154652</xdr:rowOff>
    </xdr:from>
    <xdr:to>
      <xdr:col>28</xdr:col>
      <xdr:colOff>143631</xdr:colOff>
      <xdr:row>195</xdr:row>
      <xdr:rowOff>137651</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19C046F3-E50C-CD18-412B-A44213B90B6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9852414" y="32187227"/>
              <a:ext cx="8045817" cy="44787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431800</xdr:colOff>
      <xdr:row>52</xdr:row>
      <xdr:rowOff>12700</xdr:rowOff>
    </xdr:from>
    <xdr:to>
      <xdr:col>16</xdr:col>
      <xdr:colOff>35560</xdr:colOff>
      <xdr:row>68</xdr:row>
      <xdr:rowOff>127000</xdr:rowOff>
    </xdr:to>
    <xdr:sp macro="" textlink="">
      <xdr:nvSpPr>
        <xdr:cNvPr id="3" name="TextBox 1">
          <a:extLst>
            <a:ext uri="{FF2B5EF4-FFF2-40B4-BE49-F238E27FC236}">
              <a16:creationId xmlns:a16="http://schemas.microsoft.com/office/drawing/2014/main" id="{3215FA4C-A328-4D6F-ABD3-397673493C68}"/>
            </a:ext>
          </a:extLst>
        </xdr:cNvPr>
        <xdr:cNvSpPr txBox="1"/>
      </xdr:nvSpPr>
      <xdr:spPr>
        <a:xfrm>
          <a:off x="15026217" y="9368367"/>
          <a:ext cx="3350260" cy="29929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Note:</a:t>
          </a:r>
        </a:p>
        <a:p>
          <a:r>
            <a:rPr lang="en-US" sz="1100" b="1" i="0">
              <a:solidFill>
                <a:schemeClr val="dk1"/>
              </a:solidFill>
              <a:effectLst/>
              <a:latin typeface="+mn-lt"/>
              <a:ea typeface="+mn-ea"/>
              <a:cs typeface="+mn-cs"/>
            </a:rPr>
            <a:t>Model Scope:</a:t>
          </a:r>
          <a:r>
            <a:rPr lang="en-US" sz="1100" b="0" i="0">
              <a:solidFill>
                <a:schemeClr val="dk1"/>
              </a:solidFill>
              <a:effectLst/>
              <a:latin typeface="+mn-lt"/>
              <a:ea typeface="+mn-ea"/>
              <a:cs typeface="+mn-cs"/>
            </a:rPr>
            <a:t> The model incorporates standard U.S. tariff measures applicable to solar components and modules.</a:t>
          </a:r>
        </a:p>
        <a:p>
          <a:r>
            <a:rPr lang="en-US" sz="1100" b="1" i="0">
              <a:solidFill>
                <a:schemeClr val="dk1"/>
              </a:solidFill>
              <a:effectLst/>
              <a:latin typeface="+mn-lt"/>
              <a:ea typeface="+mn-ea"/>
              <a:cs typeface="+mn-cs"/>
            </a:rPr>
            <a:t>Methodological Exclusion:</a:t>
          </a:r>
          <a:r>
            <a:rPr lang="en-US" sz="1100" b="0" i="0">
              <a:solidFill>
                <a:schemeClr val="dk1"/>
              </a:solidFill>
              <a:effectLst/>
              <a:latin typeface="+mn-lt"/>
              <a:ea typeface="+mn-ea"/>
              <a:cs typeface="+mn-cs"/>
            </a:rPr>
            <a:t> The model deliberately excludes Anti-Dumping and Countervailing Duties (AD/CVD). These trade remedies are highly specific to the manufacturer and country of origin, and are subject to frequent administrative reviews. Their inclusion is impractical for a strategic, global-level comparative analysis and would obscure the impact of broader policy and technology drivers.</a:t>
          </a:r>
        </a:p>
        <a:p>
          <a:r>
            <a:rPr lang="en-US" sz="1100" b="1" i="0">
              <a:solidFill>
                <a:schemeClr val="dk1"/>
              </a:solidFill>
              <a:effectLst/>
              <a:latin typeface="+mn-lt"/>
              <a:ea typeface="+mn-ea"/>
              <a:cs typeface="+mn-cs"/>
            </a:rPr>
            <a:t>User Implication:</a:t>
          </a:r>
          <a:r>
            <a:rPr lang="en-US" sz="1100" b="0" i="0">
              <a:solidFill>
                <a:schemeClr val="dk1"/>
              </a:solidFill>
              <a:effectLst/>
              <a:latin typeface="+mn-lt"/>
              <a:ea typeface="+mn-ea"/>
              <a:cs typeface="+mn-cs"/>
            </a:rPr>
            <a:t> Consequently, the calculated landed cost for certain U.S. import scenarios will not reflect the full impact of all applicable trade remedies and should be interpreted accordingly.</a:t>
          </a:r>
        </a:p>
        <a:p>
          <a:br>
            <a:rPr lang="en-US"/>
          </a:b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pv-magazine.com/2024/07/10/china-to-impose-stricter-requirements-on-pv-manufacturing/" TargetMode="External"/><Relationship Id="rId2" Type="http://schemas.openxmlformats.org/officeDocument/2006/relationships/hyperlink" Target="https://www.cmpe360.com/p/217421" TargetMode="External"/><Relationship Id="rId1" Type="http://schemas.openxmlformats.org/officeDocument/2006/relationships/hyperlink" Target="https://www.solarpanelproductionline.com/knowledges/TOPCon-comprehensive-analysis.html" TargetMode="External"/><Relationship Id="rId5" Type="http://schemas.openxmlformats.org/officeDocument/2006/relationships/printerSettings" Target="../printerSettings/printerSettings5.bin"/><Relationship Id="rId4" Type="http://schemas.openxmlformats.org/officeDocument/2006/relationships/hyperlink" Target="https://businessanalytiq.com/procurementanalytics/index/metal-silicon-price-index/"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BB92C-0E95-415B-8773-2AF8D3767314}">
  <dimension ref="A1"/>
  <sheetViews>
    <sheetView zoomScale="30" zoomScaleNormal="30" workbookViewId="0">
      <selection activeCell="AC32" sqref="AC32"/>
    </sheetView>
  </sheetViews>
  <sheetFormatPr defaultColWidth="8.76953125" defaultRowHeight="14.75"/>
  <cols>
    <col min="1" max="16384" width="8.76953125" style="1"/>
  </cols>
  <sheetData/>
  <sheetProtection algorithmName="SHA-512" hashValue="EJ1Fbwocg+qagzAkFchQkFr1BBuqXarf2t18gmt0PNsD8wx6hi5qhwXaiypGAAixqvmb7jSlBhi4+yAbhh+/4Q==" saltValue="T6f8b7OhpV8uAI2w89NuTw==" spinCount="100000" sheet="1" objects="1" scenarios="1"/>
  <pageMargins left="0.7" right="0.7" top="0.75" bottom="0.75" header="0.3" footer="0.3"/>
  <pageSetup orientation="portrait" r:id="rId1"/>
  <headerFooter>
    <oddFooter>&amp;R_x000D_&amp;1#&amp;"Calibri"&amp;10&amp;K000000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06AF5-0424-47B9-8CB1-5E4F659F9B03}">
  <sheetPr>
    <tabColor theme="2" tint="-9.9978637043366805E-2"/>
  </sheetPr>
  <dimension ref="B1:R42"/>
  <sheetViews>
    <sheetView zoomScale="53" zoomScaleNormal="70" workbookViewId="0">
      <selection activeCell="R6" sqref="R6"/>
    </sheetView>
  </sheetViews>
  <sheetFormatPr defaultColWidth="8.76953125" defaultRowHeight="14.75"/>
  <cols>
    <col min="1" max="1" width="2.08984375" style="1" customWidth="1"/>
    <col min="2" max="2" width="8.76953125" style="1" bestFit="1"/>
    <col min="3" max="3" width="11.76953125" style="1" customWidth="1"/>
    <col min="4" max="4" width="18.76953125" style="1" customWidth="1"/>
    <col min="5" max="5" width="8.76953125" style="1" bestFit="1"/>
    <col min="6" max="6" width="17.76953125" style="1" customWidth="1"/>
    <col min="7" max="8" width="8.76953125" style="1" bestFit="1"/>
    <col min="9" max="9" width="15.2265625" style="1" customWidth="1"/>
    <col min="10" max="17" width="8.76953125" style="1"/>
    <col min="18" max="18" width="22.76953125" style="1" customWidth="1"/>
    <col min="19" max="16384" width="8.76953125" style="1"/>
  </cols>
  <sheetData>
    <row r="1" spans="2:18" ht="67.5" customHeight="1">
      <c r="B1" s="94"/>
    </row>
    <row r="2" spans="2:18">
      <c r="B2" s="94"/>
    </row>
    <row r="3" spans="2:18">
      <c r="B3" s="94"/>
    </row>
    <row r="4" spans="2:18">
      <c r="B4"/>
    </row>
    <row r="5" spans="2:18">
      <c r="B5" s="94"/>
    </row>
    <row r="6" spans="2:18">
      <c r="B6" s="94"/>
    </row>
    <row r="7" spans="2:18">
      <c r="B7" s="94"/>
    </row>
    <row r="8" spans="2:18">
      <c r="B8" s="94"/>
    </row>
    <row r="9" spans="2:18" ht="14.65" customHeight="1">
      <c r="B9" s="202" t="s">
        <v>167</v>
      </c>
      <c r="C9" s="203"/>
      <c r="D9" s="203"/>
      <c r="E9" s="203"/>
      <c r="F9" s="203"/>
      <c r="G9" s="203"/>
      <c r="H9" s="203"/>
      <c r="I9" s="203"/>
      <c r="K9" s="204" t="s">
        <v>0</v>
      </c>
      <c r="L9" s="203"/>
      <c r="M9" s="203"/>
      <c r="N9" s="203"/>
      <c r="O9" s="203"/>
      <c r="P9" s="203"/>
      <c r="Q9" s="203"/>
      <c r="R9" s="203"/>
    </row>
    <row r="10" spans="2:18">
      <c r="B10" s="203"/>
      <c r="C10" s="203"/>
      <c r="D10" s="203"/>
      <c r="E10" s="203"/>
      <c r="F10" s="203"/>
      <c r="G10" s="203"/>
      <c r="H10" s="203"/>
      <c r="I10" s="203"/>
      <c r="K10" s="203"/>
      <c r="L10" s="203"/>
      <c r="M10" s="203"/>
      <c r="N10" s="203"/>
      <c r="O10" s="203"/>
      <c r="P10" s="203"/>
      <c r="Q10" s="203"/>
      <c r="R10" s="203"/>
    </row>
    <row r="11" spans="2:18">
      <c r="B11" s="203"/>
      <c r="C11" s="203"/>
      <c r="D11" s="203"/>
      <c r="E11" s="203"/>
      <c r="F11" s="203"/>
      <c r="G11" s="203"/>
      <c r="H11" s="203"/>
      <c r="I11" s="203"/>
      <c r="K11" s="203"/>
      <c r="L11" s="203"/>
      <c r="M11" s="203"/>
      <c r="N11" s="203"/>
      <c r="O11" s="203"/>
      <c r="P11" s="203"/>
      <c r="Q11" s="203"/>
      <c r="R11" s="203"/>
    </row>
    <row r="12" spans="2:18">
      <c r="B12" s="203"/>
      <c r="C12" s="203"/>
      <c r="D12" s="203"/>
      <c r="E12" s="203"/>
      <c r="F12" s="203"/>
      <c r="G12" s="203"/>
      <c r="H12" s="203"/>
      <c r="I12" s="203"/>
      <c r="K12" s="203"/>
      <c r="L12" s="203"/>
      <c r="M12" s="203"/>
      <c r="N12" s="203"/>
      <c r="O12" s="203"/>
      <c r="P12" s="203"/>
      <c r="Q12" s="203"/>
      <c r="R12" s="203"/>
    </row>
    <row r="13" spans="2:18">
      <c r="B13" s="203"/>
      <c r="C13" s="203"/>
      <c r="D13" s="203"/>
      <c r="E13" s="203"/>
      <c r="F13" s="203"/>
      <c r="G13" s="203"/>
      <c r="H13" s="203"/>
      <c r="I13" s="203"/>
      <c r="K13" s="203"/>
      <c r="L13" s="203"/>
      <c r="M13" s="203"/>
      <c r="N13" s="203"/>
      <c r="O13" s="203"/>
      <c r="P13" s="203"/>
      <c r="Q13" s="203"/>
      <c r="R13" s="203"/>
    </row>
    <row r="14" spans="2:18">
      <c r="B14" s="203"/>
      <c r="C14" s="203"/>
      <c r="D14" s="203"/>
      <c r="E14" s="203"/>
      <c r="F14" s="203"/>
      <c r="G14" s="203"/>
      <c r="H14" s="203"/>
      <c r="I14" s="203"/>
      <c r="K14" s="203"/>
      <c r="L14" s="203"/>
      <c r="M14" s="203"/>
      <c r="N14" s="203"/>
      <c r="O14" s="203"/>
      <c r="P14" s="203"/>
      <c r="Q14" s="203"/>
      <c r="R14" s="203"/>
    </row>
    <row r="15" spans="2:18">
      <c r="B15" s="203"/>
      <c r="C15" s="203"/>
      <c r="D15" s="203"/>
      <c r="E15" s="203"/>
      <c r="F15" s="203"/>
      <c r="G15" s="203"/>
      <c r="H15" s="203"/>
      <c r="I15" s="203"/>
      <c r="K15" s="203"/>
      <c r="L15" s="203"/>
      <c r="M15" s="203"/>
      <c r="N15" s="203"/>
      <c r="O15" s="203"/>
      <c r="P15" s="203"/>
      <c r="Q15" s="203"/>
      <c r="R15" s="203"/>
    </row>
    <row r="16" spans="2:18">
      <c r="B16" s="203"/>
      <c r="C16" s="203"/>
      <c r="D16" s="203"/>
      <c r="E16" s="203"/>
      <c r="F16" s="203"/>
      <c r="G16" s="203"/>
      <c r="H16" s="203"/>
      <c r="I16" s="203"/>
      <c r="K16" s="203"/>
      <c r="L16" s="203"/>
      <c r="M16" s="203"/>
      <c r="N16" s="203"/>
      <c r="O16" s="203"/>
      <c r="P16" s="203"/>
      <c r="Q16" s="203"/>
      <c r="R16" s="203"/>
    </row>
    <row r="17" spans="2:18">
      <c r="B17" s="203"/>
      <c r="C17" s="203"/>
      <c r="D17" s="203"/>
      <c r="E17" s="203"/>
      <c r="F17" s="203"/>
      <c r="G17" s="203"/>
      <c r="H17" s="203"/>
      <c r="I17" s="203"/>
      <c r="K17" s="203"/>
      <c r="L17" s="203"/>
      <c r="M17" s="203"/>
      <c r="N17" s="203"/>
      <c r="O17" s="203"/>
      <c r="P17" s="203"/>
      <c r="Q17" s="203"/>
      <c r="R17" s="203"/>
    </row>
    <row r="18" spans="2:18">
      <c r="B18" s="203"/>
      <c r="C18" s="203"/>
      <c r="D18" s="203"/>
      <c r="E18" s="203"/>
      <c r="F18" s="203"/>
      <c r="G18" s="203"/>
      <c r="H18" s="203"/>
      <c r="I18" s="203"/>
      <c r="K18" s="203"/>
      <c r="L18" s="203"/>
      <c r="M18" s="203"/>
      <c r="N18" s="203"/>
      <c r="O18" s="203"/>
      <c r="P18" s="203"/>
      <c r="Q18" s="203"/>
      <c r="R18" s="203"/>
    </row>
    <row r="19" spans="2:18">
      <c r="B19" s="203"/>
      <c r="C19" s="203"/>
      <c r="D19" s="203"/>
      <c r="E19" s="203"/>
      <c r="F19" s="203"/>
      <c r="G19" s="203"/>
      <c r="H19" s="203"/>
      <c r="I19" s="203"/>
      <c r="K19" s="203"/>
      <c r="L19" s="203"/>
      <c r="M19" s="203"/>
      <c r="N19" s="203"/>
      <c r="O19" s="203"/>
      <c r="P19" s="203"/>
      <c r="Q19" s="203"/>
      <c r="R19" s="203"/>
    </row>
    <row r="20" spans="2:18">
      <c r="B20" s="203"/>
      <c r="C20" s="203"/>
      <c r="D20" s="203"/>
      <c r="E20" s="203"/>
      <c r="F20" s="203"/>
      <c r="G20" s="203"/>
      <c r="H20" s="203"/>
      <c r="I20" s="203"/>
      <c r="K20" s="203"/>
      <c r="L20" s="203"/>
      <c r="M20" s="203"/>
      <c r="N20" s="203"/>
      <c r="O20" s="203"/>
      <c r="P20" s="203"/>
      <c r="Q20" s="203"/>
      <c r="R20" s="203"/>
    </row>
    <row r="21" spans="2:18">
      <c r="B21" s="203"/>
      <c r="C21" s="203"/>
      <c r="D21" s="203"/>
      <c r="E21" s="203"/>
      <c r="F21" s="203"/>
      <c r="G21" s="203"/>
      <c r="H21" s="203"/>
      <c r="I21" s="203"/>
      <c r="J21" s="2"/>
      <c r="K21" s="203"/>
      <c r="L21" s="203"/>
      <c r="M21" s="203"/>
      <c r="N21" s="203"/>
      <c r="O21" s="203"/>
      <c r="P21" s="203"/>
      <c r="Q21" s="203"/>
      <c r="R21" s="203"/>
    </row>
    <row r="22" spans="2:18">
      <c r="B22" s="203"/>
      <c r="C22" s="203"/>
      <c r="D22" s="203"/>
      <c r="E22" s="203"/>
      <c r="F22" s="203"/>
      <c r="G22" s="203"/>
      <c r="H22" s="203"/>
      <c r="I22" s="203"/>
      <c r="K22" s="203"/>
      <c r="L22" s="203"/>
      <c r="M22" s="203"/>
      <c r="N22" s="203"/>
      <c r="O22" s="203"/>
      <c r="P22" s="203"/>
      <c r="Q22" s="203"/>
      <c r="R22" s="203"/>
    </row>
    <row r="23" spans="2:18">
      <c r="B23" s="203"/>
      <c r="C23" s="203"/>
      <c r="D23" s="203"/>
      <c r="E23" s="203"/>
      <c r="F23" s="203"/>
      <c r="G23" s="203"/>
      <c r="H23" s="203"/>
      <c r="I23" s="203"/>
      <c r="K23" s="203"/>
      <c r="L23" s="203"/>
      <c r="M23" s="203"/>
      <c r="N23" s="203"/>
      <c r="O23" s="203"/>
      <c r="P23" s="203"/>
      <c r="Q23" s="203"/>
      <c r="R23" s="203"/>
    </row>
    <row r="24" spans="2:18">
      <c r="B24" s="203"/>
      <c r="C24" s="203"/>
      <c r="D24" s="203"/>
      <c r="E24" s="203"/>
      <c r="F24" s="203"/>
      <c r="G24" s="203"/>
      <c r="H24" s="203"/>
      <c r="I24" s="203"/>
      <c r="K24" s="203"/>
      <c r="L24" s="203"/>
      <c r="M24" s="203"/>
      <c r="N24" s="203"/>
      <c r="O24" s="203"/>
      <c r="P24" s="203"/>
      <c r="Q24" s="203"/>
      <c r="R24" s="203"/>
    </row>
    <row r="25" spans="2:18">
      <c r="B25" s="203"/>
      <c r="C25" s="203"/>
      <c r="D25" s="203"/>
      <c r="E25" s="203"/>
      <c r="F25" s="203"/>
      <c r="G25" s="203"/>
      <c r="H25" s="203"/>
      <c r="I25" s="203"/>
      <c r="K25" s="203"/>
      <c r="L25" s="203"/>
      <c r="M25" s="203"/>
      <c r="N25" s="203"/>
      <c r="O25" s="203"/>
      <c r="P25" s="203"/>
      <c r="Q25" s="203"/>
      <c r="R25" s="203"/>
    </row>
    <row r="26" spans="2:18">
      <c r="B26" s="203"/>
      <c r="C26" s="203"/>
      <c r="D26" s="203"/>
      <c r="E26" s="203"/>
      <c r="F26" s="203"/>
      <c r="G26" s="203"/>
      <c r="H26" s="203"/>
      <c r="I26" s="203"/>
      <c r="K26" s="203"/>
      <c r="L26" s="203"/>
      <c r="M26" s="203"/>
      <c r="N26" s="203"/>
      <c r="O26" s="203"/>
      <c r="P26" s="203"/>
      <c r="Q26" s="203"/>
      <c r="R26" s="203"/>
    </row>
    <row r="27" spans="2:18">
      <c r="B27" s="203"/>
      <c r="C27" s="203"/>
      <c r="D27" s="203"/>
      <c r="E27" s="203"/>
      <c r="F27" s="203"/>
      <c r="G27" s="203"/>
      <c r="H27" s="203"/>
      <c r="I27" s="203"/>
      <c r="K27" s="203"/>
      <c r="L27" s="203"/>
      <c r="M27" s="203"/>
      <c r="N27" s="203"/>
      <c r="O27" s="203"/>
      <c r="P27" s="203"/>
      <c r="Q27" s="203"/>
      <c r="R27" s="203"/>
    </row>
    <row r="28" spans="2:18">
      <c r="B28" s="203"/>
      <c r="C28" s="203"/>
      <c r="D28" s="203"/>
      <c r="E28" s="203"/>
      <c r="F28" s="203"/>
      <c r="G28" s="203"/>
      <c r="H28" s="203"/>
      <c r="I28" s="203"/>
      <c r="K28" s="203"/>
      <c r="L28" s="203"/>
      <c r="M28" s="203"/>
      <c r="N28" s="203"/>
      <c r="O28" s="203"/>
      <c r="P28" s="203"/>
      <c r="Q28" s="203"/>
      <c r="R28" s="203"/>
    </row>
    <row r="29" spans="2:18">
      <c r="B29" s="203"/>
      <c r="C29" s="203"/>
      <c r="D29" s="203"/>
      <c r="E29" s="203"/>
      <c r="F29" s="203"/>
      <c r="G29" s="203"/>
      <c r="H29" s="203"/>
      <c r="I29" s="203"/>
      <c r="K29" s="203"/>
      <c r="L29" s="203"/>
      <c r="M29" s="203"/>
      <c r="N29" s="203"/>
      <c r="O29" s="203"/>
      <c r="P29" s="203"/>
      <c r="Q29" s="203"/>
      <c r="R29" s="203"/>
    </row>
    <row r="30" spans="2:18">
      <c r="B30" s="203"/>
      <c r="C30" s="203"/>
      <c r="D30" s="203"/>
      <c r="E30" s="203"/>
      <c r="F30" s="203"/>
      <c r="G30" s="203"/>
      <c r="H30" s="203"/>
      <c r="I30" s="203"/>
      <c r="K30" s="203"/>
      <c r="L30" s="203"/>
      <c r="M30" s="203"/>
      <c r="N30" s="203"/>
      <c r="O30" s="203"/>
      <c r="P30" s="203"/>
      <c r="Q30" s="203"/>
      <c r="R30" s="203"/>
    </row>
    <row r="31" spans="2:18">
      <c r="B31" s="203"/>
      <c r="C31" s="203"/>
      <c r="D31" s="203"/>
      <c r="E31" s="203"/>
      <c r="F31" s="203"/>
      <c r="G31" s="203"/>
      <c r="H31" s="203"/>
      <c r="I31" s="203"/>
      <c r="K31" s="203"/>
      <c r="L31" s="203"/>
      <c r="M31" s="203"/>
      <c r="N31" s="203"/>
      <c r="O31" s="203"/>
      <c r="P31" s="203"/>
      <c r="Q31" s="203"/>
      <c r="R31" s="203"/>
    </row>
    <row r="32" spans="2:18">
      <c r="B32" s="203"/>
      <c r="C32" s="203"/>
      <c r="D32" s="203"/>
      <c r="E32" s="203"/>
      <c r="F32" s="203"/>
      <c r="G32" s="203"/>
      <c r="H32" s="203"/>
      <c r="I32" s="203"/>
      <c r="K32" s="203"/>
      <c r="L32" s="203"/>
      <c r="M32" s="203"/>
      <c r="N32" s="203"/>
      <c r="O32" s="203"/>
      <c r="P32" s="203"/>
      <c r="Q32" s="203"/>
      <c r="R32" s="203"/>
    </row>
    <row r="33" spans="2:18">
      <c r="B33" s="203"/>
      <c r="C33" s="203"/>
      <c r="D33" s="203"/>
      <c r="E33" s="203"/>
      <c r="F33" s="203"/>
      <c r="G33" s="203"/>
      <c r="H33" s="203"/>
      <c r="I33" s="203"/>
      <c r="K33" s="203"/>
      <c r="L33" s="203"/>
      <c r="M33" s="203"/>
      <c r="N33" s="203"/>
      <c r="O33" s="203"/>
      <c r="P33" s="203"/>
      <c r="Q33" s="203"/>
      <c r="R33" s="203"/>
    </row>
    <row r="34" spans="2:18">
      <c r="B34" s="203"/>
      <c r="C34" s="203"/>
      <c r="D34" s="203"/>
      <c r="E34" s="203"/>
      <c r="F34" s="203"/>
      <c r="G34" s="203"/>
      <c r="H34" s="203"/>
      <c r="I34" s="203"/>
      <c r="K34" s="203"/>
      <c r="L34" s="203"/>
      <c r="M34" s="203"/>
      <c r="N34" s="203"/>
      <c r="O34" s="203"/>
      <c r="P34" s="203"/>
      <c r="Q34" s="203"/>
      <c r="R34" s="203"/>
    </row>
    <row r="35" spans="2:18">
      <c r="B35" s="203"/>
      <c r="C35" s="203"/>
      <c r="D35" s="203"/>
      <c r="E35" s="203"/>
      <c r="F35" s="203"/>
      <c r="G35" s="203"/>
      <c r="H35" s="203"/>
      <c r="I35" s="203"/>
      <c r="K35" s="203"/>
      <c r="L35" s="203"/>
      <c r="M35" s="203"/>
      <c r="N35" s="203"/>
      <c r="O35" s="203"/>
      <c r="P35" s="203"/>
      <c r="Q35" s="203"/>
      <c r="R35" s="203"/>
    </row>
    <row r="36" spans="2:18">
      <c r="B36" s="203"/>
      <c r="C36" s="203"/>
      <c r="D36" s="203"/>
      <c r="E36" s="203"/>
      <c r="F36" s="203"/>
      <c r="G36" s="203"/>
      <c r="H36" s="203"/>
      <c r="I36" s="203"/>
      <c r="K36" s="203"/>
      <c r="L36" s="203"/>
      <c r="M36" s="203"/>
      <c r="N36" s="203"/>
      <c r="O36" s="203"/>
      <c r="P36" s="203"/>
      <c r="Q36" s="203"/>
      <c r="R36" s="203"/>
    </row>
    <row r="37" spans="2:18">
      <c r="B37" s="203"/>
      <c r="C37" s="203"/>
      <c r="D37" s="203"/>
      <c r="E37" s="203"/>
      <c r="F37" s="203"/>
      <c r="G37" s="203"/>
      <c r="H37" s="203"/>
      <c r="I37" s="203"/>
      <c r="K37" s="203"/>
      <c r="L37" s="203"/>
      <c r="M37" s="203"/>
      <c r="N37" s="203"/>
      <c r="O37" s="203"/>
      <c r="P37" s="203"/>
      <c r="Q37" s="203"/>
      <c r="R37" s="203"/>
    </row>
    <row r="38" spans="2:18">
      <c r="B38" s="203"/>
      <c r="C38" s="203"/>
      <c r="D38" s="203"/>
      <c r="E38" s="203"/>
      <c r="F38" s="203"/>
      <c r="G38" s="203"/>
      <c r="H38" s="203"/>
      <c r="I38" s="203"/>
      <c r="K38" s="203"/>
      <c r="L38" s="203"/>
      <c r="M38" s="203"/>
      <c r="N38" s="203"/>
      <c r="O38" s="203"/>
      <c r="P38" s="203"/>
      <c r="Q38" s="203"/>
      <c r="R38" s="203"/>
    </row>
    <row r="39" spans="2:18">
      <c r="B39" s="203"/>
      <c r="C39" s="203"/>
      <c r="D39" s="203"/>
      <c r="E39" s="203"/>
      <c r="F39" s="203"/>
      <c r="G39" s="203"/>
      <c r="H39" s="203"/>
      <c r="I39" s="203"/>
      <c r="K39" s="203"/>
      <c r="L39" s="203"/>
      <c r="M39" s="203"/>
      <c r="N39" s="203"/>
      <c r="O39" s="203"/>
      <c r="P39" s="203"/>
      <c r="Q39" s="203"/>
      <c r="R39" s="203"/>
    </row>
    <row r="40" spans="2:18">
      <c r="B40" s="203"/>
      <c r="C40" s="203"/>
      <c r="D40" s="203"/>
      <c r="E40" s="203"/>
      <c r="F40" s="203"/>
      <c r="G40" s="203"/>
      <c r="H40" s="203"/>
      <c r="I40" s="203"/>
      <c r="K40" s="203"/>
      <c r="L40" s="203"/>
      <c r="M40" s="203"/>
      <c r="N40" s="203"/>
      <c r="O40" s="203"/>
      <c r="P40" s="203"/>
      <c r="Q40" s="203"/>
      <c r="R40" s="203"/>
    </row>
    <row r="41" spans="2:18">
      <c r="B41" s="203"/>
      <c r="C41" s="203"/>
      <c r="D41" s="203"/>
      <c r="E41" s="203"/>
      <c r="F41" s="203"/>
      <c r="G41" s="203"/>
      <c r="H41" s="203"/>
      <c r="I41" s="203"/>
      <c r="K41" s="203"/>
      <c r="L41" s="203"/>
      <c r="M41" s="203"/>
      <c r="N41" s="203"/>
      <c r="O41" s="203"/>
      <c r="P41" s="203"/>
      <c r="Q41" s="203"/>
      <c r="R41" s="203"/>
    </row>
    <row r="42" spans="2:18">
      <c r="B42" s="203"/>
      <c r="C42" s="203"/>
      <c r="D42" s="203"/>
      <c r="E42" s="203"/>
      <c r="F42" s="203"/>
      <c r="G42" s="203"/>
      <c r="H42" s="203"/>
      <c r="I42" s="203"/>
      <c r="K42" s="203"/>
      <c r="L42" s="203"/>
      <c r="M42" s="203"/>
      <c r="N42" s="203"/>
      <c r="O42" s="203"/>
      <c r="P42" s="203"/>
      <c r="Q42" s="203"/>
      <c r="R42" s="203"/>
    </row>
  </sheetData>
  <sheetProtection algorithmName="SHA-512" hashValue="bx6lVsVziqCA4Sd4OayoWkPplcRr/5h59ylzp1JHSv2Jw+PZjFjgaRNag0RlyGb5l8x0U6BLY9M8bEbsQhYlVQ==" saltValue="zbIIurlLHbEtjzZ8y5zhjg==" spinCount="100000" sheet="1" objects="1" scenarios="1"/>
  <mergeCells count="2">
    <mergeCell ref="B9:I42"/>
    <mergeCell ref="K9:R42"/>
  </mergeCells>
  <pageMargins left="0.7" right="0.7" top="0.75" bottom="0.75" header="0.3" footer="0.3"/>
  <headerFooter>
    <oddFooter>&amp;R_x000D_&amp;1#&amp;"Calibri"&amp;10&amp;K000000 Official Use Only</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A12CE-5D73-4A69-9B00-CB7744F8A91C}">
  <sheetPr>
    <tabColor theme="7" tint="0.79998168889431442"/>
    <pageSetUpPr fitToPage="1"/>
  </sheetPr>
  <dimension ref="A1:Z63"/>
  <sheetViews>
    <sheetView tabSelected="1" zoomScale="72" zoomScaleNormal="100" workbookViewId="0">
      <selection activeCell="C3" sqref="C3"/>
    </sheetView>
  </sheetViews>
  <sheetFormatPr defaultColWidth="8.54296875" defaultRowHeight="14.75"/>
  <cols>
    <col min="1" max="1" width="2.08984375" style="1" customWidth="1"/>
    <col min="2" max="2" width="48.76953125" style="1" bestFit="1" customWidth="1"/>
    <col min="3" max="3" width="14.31640625" style="1" bestFit="1" customWidth="1"/>
    <col min="4" max="6" width="14.54296875" style="1" customWidth="1"/>
    <col min="7" max="8" width="5.54296875" style="1" customWidth="1"/>
    <col min="9" max="9" width="13.31640625" style="1" customWidth="1"/>
    <col min="10" max="13" width="11.54296875" style="1" bestFit="1" customWidth="1"/>
    <col min="14" max="14" width="8.54296875" style="1"/>
    <col min="15" max="15" width="6.08984375" style="1" bestFit="1" customWidth="1"/>
    <col min="16" max="16" width="15.08984375" style="1" bestFit="1" customWidth="1"/>
    <col min="17" max="17" width="8.54296875" style="1"/>
    <col min="18" max="18" width="11.31640625" style="1" customWidth="1"/>
    <col min="19" max="19" width="13" style="1" customWidth="1"/>
    <col min="20" max="20" width="13.31640625" style="1" customWidth="1"/>
    <col min="21" max="21" width="11.54296875" style="1" customWidth="1"/>
    <col min="22" max="22" width="13.31640625" style="1" customWidth="1"/>
    <col min="23" max="27" width="8.54296875" style="1" customWidth="1"/>
    <col min="28" max="16384" width="8.54296875" style="1"/>
  </cols>
  <sheetData>
    <row r="1" spans="1:26" s="12" customFormat="1">
      <c r="B1" s="11" t="s">
        <v>1</v>
      </c>
    </row>
    <row r="2" spans="1:26">
      <c r="B2" s="94"/>
      <c r="C2" s="13"/>
    </row>
    <row r="3" spans="1:26">
      <c r="B3" s="70" t="s">
        <v>2</v>
      </c>
      <c r="C3" s="199" t="s">
        <v>155</v>
      </c>
    </row>
    <row r="4" spans="1:26">
      <c r="D4" s="20"/>
      <c r="E4" s="20"/>
      <c r="F4" s="20"/>
    </row>
    <row r="5" spans="1:26">
      <c r="B5" s="29" t="s">
        <v>4</v>
      </c>
      <c r="C5" s="23" t="s">
        <v>5</v>
      </c>
      <c r="D5" s="2"/>
      <c r="E5" s="2"/>
      <c r="F5" s="2"/>
    </row>
    <row r="6" spans="1:26" ht="14.7" customHeight="1">
      <c r="A6" s="24"/>
      <c r="B6" s="25"/>
      <c r="C6" s="26"/>
      <c r="D6" s="24"/>
      <c r="E6" s="24"/>
      <c r="F6" s="24"/>
      <c r="G6" s="27"/>
      <c r="M6" s="152"/>
      <c r="N6" s="151"/>
      <c r="O6" s="151"/>
      <c r="P6" s="151"/>
      <c r="Z6" s="2"/>
    </row>
    <row r="7" spans="1:26">
      <c r="B7" s="149" t="s">
        <v>6</v>
      </c>
      <c r="G7" s="28"/>
      <c r="M7" s="152"/>
      <c r="N7" s="151"/>
      <c r="O7" s="151"/>
      <c r="P7" s="151"/>
    </row>
    <row r="8" spans="1:26">
      <c r="B8" s="150" t="s">
        <v>7</v>
      </c>
      <c r="C8" s="199" t="s">
        <v>37</v>
      </c>
      <c r="G8" s="28"/>
      <c r="M8" s="152"/>
      <c r="N8" s="151"/>
      <c r="O8" s="151"/>
      <c r="P8" s="151"/>
    </row>
    <row r="9" spans="1:26">
      <c r="B9" s="29"/>
      <c r="G9" s="28"/>
      <c r="M9" s="152"/>
      <c r="N9" s="151"/>
      <c r="O9" s="151"/>
      <c r="P9" s="151"/>
    </row>
    <row r="10" spans="1:26">
      <c r="B10" s="21" t="s">
        <v>9</v>
      </c>
      <c r="C10" s="21" t="s">
        <v>10</v>
      </c>
      <c r="D10" s="95" t="s">
        <v>11</v>
      </c>
      <c r="E10" s="96" t="s">
        <v>12</v>
      </c>
      <c r="F10" s="96" t="s">
        <v>13</v>
      </c>
      <c r="G10" s="28"/>
      <c r="M10" s="152"/>
      <c r="N10" s="151"/>
      <c r="O10" s="151"/>
      <c r="P10" s="151"/>
    </row>
    <row r="11" spans="1:26">
      <c r="B11" s="16" t="s">
        <v>14</v>
      </c>
      <c r="C11" s="22" t="s">
        <v>15</v>
      </c>
      <c r="D11" s="72">
        <f>INDEX(Country_Index!$D$6:$I$11, MATCH(B11, Country_Index!$B$6:$B$11, 0), MATCH($C$3, Country_Index!$D$5:$I$5, 0))</f>
        <v>50000</v>
      </c>
      <c r="E11" s="200"/>
      <c r="F11" s="97">
        <f>IF(ISNUMBER(E11), E11, D11)</f>
        <v>50000</v>
      </c>
      <c r="G11" s="28"/>
      <c r="M11" s="152"/>
      <c r="N11" s="151"/>
      <c r="O11" s="151"/>
      <c r="P11" s="151"/>
    </row>
    <row r="12" spans="1:26">
      <c r="B12" s="16" t="s">
        <v>16</v>
      </c>
      <c r="C12" s="22" t="s">
        <v>15</v>
      </c>
      <c r="D12" s="72">
        <f>INDEX(Country_Index!$D$6:$I$11, MATCH(B12, Country_Index!$B$6:$B$11, 0), MATCH($C$3, Country_Index!$D$5:$I$5, 0))</f>
        <v>70000</v>
      </c>
      <c r="E12" s="200"/>
      <c r="F12" s="97">
        <f t="shared" ref="F12:F16" si="0">IF(ISNUMBER(E12), E12, D12)</f>
        <v>70000</v>
      </c>
      <c r="G12" s="28"/>
      <c r="M12" s="152"/>
      <c r="N12" s="151"/>
      <c r="O12" s="151"/>
      <c r="P12" s="151"/>
    </row>
    <row r="13" spans="1:26">
      <c r="B13" s="16" t="s">
        <v>17</v>
      </c>
      <c r="C13" s="22" t="s">
        <v>18</v>
      </c>
      <c r="D13" s="72">
        <f>INDEX(Country_Index!$D$6:$I$11, MATCH(B13, Country_Index!$B$6:$B$11, 0), MATCH($C$3, Country_Index!$D$5:$I$5, 0))</f>
        <v>0.09</v>
      </c>
      <c r="E13" s="200"/>
      <c r="F13" s="97">
        <f t="shared" si="0"/>
        <v>0.09</v>
      </c>
      <c r="G13" s="28"/>
      <c r="I13" s="152"/>
      <c r="J13" s="152"/>
      <c r="K13" s="152"/>
      <c r="L13" s="152"/>
    </row>
    <row r="14" spans="1:26">
      <c r="B14" s="16" t="s">
        <v>19</v>
      </c>
      <c r="C14" s="22" t="s">
        <v>20</v>
      </c>
      <c r="D14" s="72">
        <f>INDEX(Country_Index!$D$6:$I$11, MATCH(B14, Country_Index!$B$6:$B$11, 0), MATCH($C$3, Country_Index!$D$5:$I$5, 0))</f>
        <v>67000</v>
      </c>
      <c r="E14" s="200"/>
      <c r="F14" s="97">
        <f t="shared" si="0"/>
        <v>67000</v>
      </c>
      <c r="G14" s="28"/>
    </row>
    <row r="15" spans="1:26">
      <c r="B15" s="16" t="s">
        <v>21</v>
      </c>
      <c r="C15" s="22" t="s">
        <v>22</v>
      </c>
      <c r="D15" s="72">
        <f>INDEX(Country_Index!$D$6:$I$11, MATCH(B15, Country_Index!$B$6:$B$11, 0), MATCH($C$3, Country_Index!$D$5:$I$5, 0))</f>
        <v>20</v>
      </c>
      <c r="E15" s="200"/>
      <c r="F15" s="97">
        <f t="shared" si="0"/>
        <v>20</v>
      </c>
      <c r="G15" s="28"/>
    </row>
    <row r="16" spans="1:26">
      <c r="B16" s="16" t="s">
        <v>23</v>
      </c>
      <c r="C16" s="22" t="s">
        <v>22</v>
      </c>
      <c r="D16" s="72">
        <f>INDEX(Country_Index!$D$6:$I$11, MATCH(B16, Country_Index!$B$6:$B$11, 0), MATCH($C$3, Country_Index!$D$5:$I$5, 0))</f>
        <v>7</v>
      </c>
      <c r="E16" s="200"/>
      <c r="F16" s="97">
        <f t="shared" si="0"/>
        <v>7</v>
      </c>
      <c r="G16" s="28"/>
    </row>
    <row r="17" spans="2:7">
      <c r="G17" s="28"/>
    </row>
    <row r="18" spans="2:7">
      <c r="B18" s="149" t="s">
        <v>24</v>
      </c>
      <c r="G18" s="28"/>
    </row>
    <row r="19" spans="2:7">
      <c r="B19" s="150" t="s">
        <v>25</v>
      </c>
      <c r="C19" s="199" t="s">
        <v>37</v>
      </c>
      <c r="G19" s="28"/>
    </row>
    <row r="20" spans="2:7">
      <c r="B20" s="150" t="s">
        <v>26</v>
      </c>
      <c r="C20" s="199" t="s">
        <v>37</v>
      </c>
      <c r="G20" s="28"/>
    </row>
    <row r="21" spans="2:7">
      <c r="B21" s="2"/>
      <c r="G21" s="28"/>
    </row>
    <row r="22" spans="2:7">
      <c r="B22" s="21" t="s">
        <v>9</v>
      </c>
      <c r="C22" s="21" t="s">
        <v>10</v>
      </c>
      <c r="D22" s="95" t="s">
        <v>11</v>
      </c>
      <c r="E22" s="96" t="s">
        <v>12</v>
      </c>
      <c r="F22" s="96" t="s">
        <v>13</v>
      </c>
      <c r="G22" s="28"/>
    </row>
    <row r="23" spans="2:7">
      <c r="B23" s="16" t="s">
        <v>14</v>
      </c>
      <c r="C23" s="22" t="s">
        <v>27</v>
      </c>
      <c r="D23" s="72">
        <f>INDEX(Country_Index!$D$15:$I$24, MATCH(B23, Country_Index!$B$15:$B$24, 0), MATCH($C$3, Country_Index!$D$14:$I$14, 0))</f>
        <v>4000000000</v>
      </c>
      <c r="E23" s="200"/>
      <c r="F23" s="97">
        <f>IF(ISNUMBER(E23), E23, D23)</f>
        <v>4000000000</v>
      </c>
      <c r="G23" s="28"/>
    </row>
    <row r="24" spans="2:7">
      <c r="B24" s="16" t="s">
        <v>16</v>
      </c>
      <c r="C24" s="22" t="s">
        <v>27</v>
      </c>
      <c r="D24" s="72">
        <f>INDEX(Country_Index!$D$15:$I$24, MATCH(B24, Country_Index!$B$15:$B$24, 0), MATCH($C$3, Country_Index!$D$14:$I$14, 0))</f>
        <v>6000000000</v>
      </c>
      <c r="E24" s="200"/>
      <c r="F24" s="97">
        <f t="shared" ref="F24:F32" si="1">IF(ISNUMBER(E24), E24, D24)</f>
        <v>6000000000</v>
      </c>
      <c r="G24" s="28"/>
    </row>
    <row r="25" spans="2:7">
      <c r="B25" s="16" t="s">
        <v>28</v>
      </c>
      <c r="C25" s="22" t="s">
        <v>29</v>
      </c>
      <c r="D25" s="72">
        <f>INDEX(Country_Index!$D$15:$I$24, MATCH(B25, Country_Index!$B$15:$B$24, 0), MATCH($C$3, Country_Index!$D$14:$I$14, 0))</f>
        <v>45</v>
      </c>
      <c r="E25" s="200"/>
      <c r="F25" s="97">
        <f t="shared" si="1"/>
        <v>45</v>
      </c>
      <c r="G25" s="28"/>
    </row>
    <row r="26" spans="2:7">
      <c r="B26" s="16" t="s">
        <v>30</v>
      </c>
      <c r="C26" s="22" t="s">
        <v>29</v>
      </c>
      <c r="D26" s="72">
        <f>INDEX(Country_Index!$D$15:$I$24, MATCH(B26, Country_Index!$B$15:$B$24, 0), MATCH($C$3, Country_Index!$D$14:$I$14, 0))</f>
        <v>50</v>
      </c>
      <c r="E26" s="200"/>
      <c r="F26" s="97">
        <f t="shared" si="1"/>
        <v>50</v>
      </c>
      <c r="G26" s="28"/>
    </row>
    <row r="27" spans="2:7">
      <c r="B27" s="16" t="s">
        <v>31</v>
      </c>
      <c r="C27" s="22" t="s">
        <v>29</v>
      </c>
      <c r="D27" s="72">
        <f>INDEX(Country_Index!$D$15:$I$24, MATCH(B27, Country_Index!$B$15:$B$24, 0), MATCH($C$3, Country_Index!$D$14:$I$14, 0))</f>
        <v>20</v>
      </c>
      <c r="E27" s="200"/>
      <c r="F27" s="97">
        <f t="shared" si="1"/>
        <v>20</v>
      </c>
      <c r="G27" s="28"/>
    </row>
    <row r="28" spans="2:7">
      <c r="B28" s="16" t="s">
        <v>17</v>
      </c>
      <c r="C28" s="22" t="s">
        <v>18</v>
      </c>
      <c r="D28" s="72">
        <f>INDEX(Country_Index!$D$15:$I$24, MATCH(B28, Country_Index!$B$15:$B$24, 0), MATCH($C$3, Country_Index!$D$14:$I$14, 0))</f>
        <v>0.09</v>
      </c>
      <c r="E28" s="200"/>
      <c r="F28" s="97">
        <f t="shared" si="1"/>
        <v>0.09</v>
      </c>
      <c r="G28" s="28"/>
    </row>
    <row r="29" spans="2:7">
      <c r="B29" s="16" t="s">
        <v>19</v>
      </c>
      <c r="C29" s="22" t="s">
        <v>20</v>
      </c>
      <c r="D29" s="72">
        <f>INDEX(Country_Index!$D$15:$I$24, MATCH(B29, Country_Index!$B$15:$B$24, 0), MATCH($C$3, Country_Index!$D$14:$I$14, 0))</f>
        <v>67000</v>
      </c>
      <c r="E29" s="200"/>
      <c r="F29" s="97">
        <f t="shared" si="1"/>
        <v>67000</v>
      </c>
      <c r="G29" s="28"/>
    </row>
    <row r="30" spans="2:7">
      <c r="B30" s="90" t="s">
        <v>32</v>
      </c>
      <c r="C30" s="91" t="s">
        <v>33</v>
      </c>
      <c r="D30" s="72">
        <f>INDEX(Country_Index!$D$15:$I$24, MATCH(B30, Country_Index!$B$15:$B$24, 0), MATCH($C$3, Country_Index!$D$14:$I$14, 0))</f>
        <v>55</v>
      </c>
      <c r="E30" s="200"/>
      <c r="F30" s="97">
        <f t="shared" si="1"/>
        <v>55</v>
      </c>
      <c r="G30" s="28"/>
    </row>
    <row r="31" spans="2:7">
      <c r="B31" s="90" t="s">
        <v>34</v>
      </c>
      <c r="C31" s="91" t="s">
        <v>33</v>
      </c>
      <c r="D31" s="72">
        <f>INDEX(Country_Index!$D$15:$I$24, MATCH(B31, Country_Index!$B$15:$B$24, 0), MATCH($C$3, Country_Index!$D$14:$I$14, 0))</f>
        <v>50</v>
      </c>
      <c r="E31" s="200"/>
      <c r="F31" s="97">
        <f t="shared" si="1"/>
        <v>50</v>
      </c>
      <c r="G31" s="28"/>
    </row>
    <row r="32" spans="2:7">
      <c r="B32" s="16" t="s">
        <v>35</v>
      </c>
      <c r="C32" s="22" t="s">
        <v>33</v>
      </c>
      <c r="D32" s="72">
        <f>INDEX(Country_Index!$D$15:$I$24, MATCH(B32, Country_Index!$B$15:$B$24, 0), MATCH($C$3, Country_Index!$D$14:$I$14, 0))</f>
        <v>30</v>
      </c>
      <c r="E32" s="200"/>
      <c r="F32" s="97">
        <f t="shared" si="1"/>
        <v>30</v>
      </c>
      <c r="G32" s="28"/>
    </row>
    <row r="33" spans="1:7">
      <c r="A33" s="13"/>
      <c r="B33" s="13"/>
      <c r="C33" s="13"/>
      <c r="D33" s="13"/>
      <c r="E33" s="13"/>
      <c r="F33" s="13"/>
      <c r="G33" s="30"/>
    </row>
    <row r="35" spans="1:7">
      <c r="B35" s="29" t="s">
        <v>4</v>
      </c>
      <c r="C35" s="23" t="s">
        <v>36</v>
      </c>
      <c r="D35" s="2"/>
      <c r="E35" s="2"/>
      <c r="F35" s="2"/>
    </row>
    <row r="36" spans="1:7">
      <c r="A36" s="24"/>
      <c r="B36" s="25"/>
      <c r="C36" s="26"/>
      <c r="D36" s="24"/>
      <c r="E36" s="24"/>
      <c r="F36" s="24"/>
      <c r="G36" s="27"/>
    </row>
    <row r="37" spans="1:7">
      <c r="B37" s="149" t="s">
        <v>6</v>
      </c>
      <c r="G37" s="28"/>
    </row>
    <row r="38" spans="1:7">
      <c r="B38" s="150" t="s">
        <v>7</v>
      </c>
      <c r="C38" s="199" t="s">
        <v>37</v>
      </c>
      <c r="G38" s="28"/>
    </row>
    <row r="39" spans="1:7">
      <c r="B39" s="2"/>
      <c r="G39" s="28"/>
    </row>
    <row r="40" spans="1:7">
      <c r="B40" s="21" t="s">
        <v>9</v>
      </c>
      <c r="C40" s="95" t="s">
        <v>10</v>
      </c>
      <c r="D40" s="96" t="s">
        <v>11</v>
      </c>
      <c r="E40" s="96" t="s">
        <v>12</v>
      </c>
      <c r="F40" s="96" t="s">
        <v>13</v>
      </c>
      <c r="G40" s="28"/>
    </row>
    <row r="41" spans="1:7">
      <c r="B41" s="16" t="s">
        <v>14</v>
      </c>
      <c r="C41" s="98" t="s">
        <v>15</v>
      </c>
      <c r="D41" s="97">
        <f>INDEX(Country_Index!$D$31:$I$36, MATCH(B41, Country_Index!$B$31:$B$36, 0), MATCH($C$3, Country_Index!$D$30:$I$30, 0))</f>
        <v>50000</v>
      </c>
      <c r="E41" s="200"/>
      <c r="F41" s="97">
        <f>IF(ISNUMBER(E41), E41, D41)</f>
        <v>50000</v>
      </c>
      <c r="G41" s="28"/>
    </row>
    <row r="42" spans="1:7">
      <c r="B42" s="16" t="s">
        <v>16</v>
      </c>
      <c r="C42" s="98" t="s">
        <v>15</v>
      </c>
      <c r="D42" s="97">
        <f>INDEX(Country_Index!$D$31:$I$36, MATCH(B42, Country_Index!$B$31:$B$36, 0), MATCH($C$3, Country_Index!$D$30:$I$30, 0))</f>
        <v>70000</v>
      </c>
      <c r="E42" s="200"/>
      <c r="F42" s="97">
        <f t="shared" ref="F42:F46" si="2">IF(ISNUMBER(E42), E42, D42)</f>
        <v>70000</v>
      </c>
      <c r="G42" s="28"/>
    </row>
    <row r="43" spans="1:7">
      <c r="B43" s="16" t="s">
        <v>17</v>
      </c>
      <c r="C43" s="98" t="s">
        <v>18</v>
      </c>
      <c r="D43" s="97">
        <f>INDEX(Country_Index!$D$31:$I$36, MATCH(B43, Country_Index!$B$31:$B$36, 0), MATCH($C$3, Country_Index!$D$30:$I$30, 0))</f>
        <v>0.09</v>
      </c>
      <c r="E43" s="200"/>
      <c r="F43" s="97">
        <f t="shared" si="2"/>
        <v>0.09</v>
      </c>
      <c r="G43" s="28"/>
    </row>
    <row r="44" spans="1:7">
      <c r="B44" s="16" t="s">
        <v>19</v>
      </c>
      <c r="C44" s="98" t="s">
        <v>20</v>
      </c>
      <c r="D44" s="97">
        <f>INDEX(Country_Index!$D$31:$I$36, MATCH(B44, Country_Index!$B$31:$B$36, 0), MATCH($C$3, Country_Index!$D$30:$I$30, 0))</f>
        <v>67000</v>
      </c>
      <c r="E44" s="200"/>
      <c r="F44" s="97">
        <f t="shared" si="2"/>
        <v>67000</v>
      </c>
      <c r="G44" s="28"/>
    </row>
    <row r="45" spans="1:7">
      <c r="B45" s="16" t="s">
        <v>21</v>
      </c>
      <c r="C45" s="98" t="s">
        <v>22</v>
      </c>
      <c r="D45" s="97">
        <f>INDEX(Country_Index!$D$31:$I$36, MATCH(B45, Country_Index!$B$31:$B$36, 0), MATCH($C$3, Country_Index!$D$30:$I$30, 0))</f>
        <v>20</v>
      </c>
      <c r="E45" s="200"/>
      <c r="F45" s="97">
        <f t="shared" si="2"/>
        <v>20</v>
      </c>
      <c r="G45" s="28"/>
    </row>
    <row r="46" spans="1:7">
      <c r="B46" s="16" t="s">
        <v>23</v>
      </c>
      <c r="C46" s="98" t="s">
        <v>22</v>
      </c>
      <c r="D46" s="97">
        <f>INDEX(Country_Index!$D$31:$I$36, MATCH(B46, Country_Index!$B$31:$B$36, 0), MATCH($C$3, Country_Index!$D$30:$I$30, 0))</f>
        <v>7</v>
      </c>
      <c r="E46" s="200"/>
      <c r="F46" s="97">
        <f t="shared" si="2"/>
        <v>7</v>
      </c>
      <c r="G46" s="28"/>
    </row>
    <row r="47" spans="1:7">
      <c r="G47" s="28"/>
    </row>
    <row r="48" spans="1:7">
      <c r="B48" s="149" t="s">
        <v>24</v>
      </c>
      <c r="G48" s="28"/>
    </row>
    <row r="49" spans="1:7">
      <c r="B49" s="150" t="s">
        <v>25</v>
      </c>
      <c r="C49" s="199" t="s">
        <v>37</v>
      </c>
      <c r="G49" s="28"/>
    </row>
    <row r="50" spans="1:7">
      <c r="B50" s="150" t="s">
        <v>26</v>
      </c>
      <c r="C50" s="199" t="s">
        <v>37</v>
      </c>
      <c r="G50" s="28"/>
    </row>
    <row r="51" spans="1:7">
      <c r="B51" s="2"/>
      <c r="G51" s="28"/>
    </row>
    <row r="52" spans="1:7">
      <c r="B52" s="21" t="s">
        <v>9</v>
      </c>
      <c r="C52" s="95" t="s">
        <v>10</v>
      </c>
      <c r="D52" s="96" t="s">
        <v>11</v>
      </c>
      <c r="E52" s="96" t="s">
        <v>12</v>
      </c>
      <c r="F52" s="96" t="s">
        <v>13</v>
      </c>
      <c r="G52" s="28"/>
    </row>
    <row r="53" spans="1:7">
      <c r="B53" s="16" t="s">
        <v>14</v>
      </c>
      <c r="C53" s="98" t="s">
        <v>27</v>
      </c>
      <c r="D53" s="97">
        <f>INDEX(Country_Index!$D$40:$I$49, MATCH(B53, Country_Index!$B$40:$B$49, 0), MATCH($C$3, Country_Index!$D$39:$I$39, 0))</f>
        <v>4000000000</v>
      </c>
      <c r="E53" s="200"/>
      <c r="F53" s="97">
        <f>IF(ISNUMBER(E53), E53, D53)</f>
        <v>4000000000</v>
      </c>
      <c r="G53" s="28"/>
    </row>
    <row r="54" spans="1:7">
      <c r="B54" s="16" t="s">
        <v>16</v>
      </c>
      <c r="C54" s="98" t="s">
        <v>27</v>
      </c>
      <c r="D54" s="97">
        <f>INDEX(Country_Index!$D$40:$I$49, MATCH(B54, Country_Index!$B$40:$B$49, 0), MATCH($C$3, Country_Index!$D$39:$I$39, 0))</f>
        <v>6000000000</v>
      </c>
      <c r="E54" s="200"/>
      <c r="F54" s="97">
        <f t="shared" ref="F54:F62" si="3">IF(ISNUMBER(E54), E54, D54)</f>
        <v>6000000000</v>
      </c>
      <c r="G54" s="28"/>
    </row>
    <row r="55" spans="1:7">
      <c r="B55" s="16" t="s">
        <v>28</v>
      </c>
      <c r="C55" s="98" t="s">
        <v>29</v>
      </c>
      <c r="D55" s="97">
        <f>INDEX(Country_Index!$D$40:$I$49, MATCH(B55, Country_Index!$B$40:$B$49, 0), MATCH($C$3, Country_Index!$D$39:$I$39, 0))</f>
        <v>45</v>
      </c>
      <c r="E55" s="200"/>
      <c r="F55" s="97">
        <f t="shared" si="3"/>
        <v>45</v>
      </c>
      <c r="G55" s="28"/>
    </row>
    <row r="56" spans="1:7">
      <c r="B56" s="16" t="s">
        <v>30</v>
      </c>
      <c r="C56" s="98" t="s">
        <v>29</v>
      </c>
      <c r="D56" s="97">
        <f>INDEX(Country_Index!$D$40:$I$49, MATCH(B56, Country_Index!$B$40:$B$49, 0), MATCH($C$3, Country_Index!$D$39:$I$39, 0))</f>
        <v>50</v>
      </c>
      <c r="E56" s="200"/>
      <c r="F56" s="97">
        <f t="shared" si="3"/>
        <v>50</v>
      </c>
      <c r="G56" s="28"/>
    </row>
    <row r="57" spans="1:7">
      <c r="B57" s="16" t="s">
        <v>31</v>
      </c>
      <c r="C57" s="98" t="s">
        <v>29</v>
      </c>
      <c r="D57" s="97">
        <f>INDEX(Country_Index!$D$40:$I$49, MATCH(B57, Country_Index!$B$40:$B$49, 0), MATCH($C$3, Country_Index!$D$39:$I$39, 0))</f>
        <v>20</v>
      </c>
      <c r="E57" s="200"/>
      <c r="F57" s="97">
        <f t="shared" si="3"/>
        <v>20</v>
      </c>
      <c r="G57" s="28"/>
    </row>
    <row r="58" spans="1:7">
      <c r="B58" s="16" t="s">
        <v>17</v>
      </c>
      <c r="C58" s="98" t="s">
        <v>18</v>
      </c>
      <c r="D58" s="97">
        <f>INDEX(Country_Index!$D$40:$I$49, MATCH(B58, Country_Index!$B$40:$B$49, 0), MATCH($C$3, Country_Index!$D$39:$I$39, 0))</f>
        <v>0.09</v>
      </c>
      <c r="E58" s="200"/>
      <c r="F58" s="97">
        <f t="shared" si="3"/>
        <v>0.09</v>
      </c>
      <c r="G58" s="28"/>
    </row>
    <row r="59" spans="1:7">
      <c r="B59" s="16" t="s">
        <v>19</v>
      </c>
      <c r="C59" s="98" t="s">
        <v>20</v>
      </c>
      <c r="D59" s="97">
        <f>INDEX(Country_Index!$D$40:$I$49, MATCH(B59, Country_Index!$B$40:$B$49, 0), MATCH($C$3, Country_Index!$D$39:$I$39, 0))</f>
        <v>67000</v>
      </c>
      <c r="E59" s="200"/>
      <c r="F59" s="97">
        <f t="shared" si="3"/>
        <v>67000</v>
      </c>
      <c r="G59" s="28"/>
    </row>
    <row r="60" spans="1:7">
      <c r="B60" s="92" t="s">
        <v>32</v>
      </c>
      <c r="C60" s="77" t="s">
        <v>33</v>
      </c>
      <c r="D60" s="97">
        <f>INDEX(Country_Index!$D$40:$I$49, MATCH(B60, Country_Index!$B$40:$B$49, 0), MATCH($C$3, Country_Index!$D$39:$I$39, 0))</f>
        <v>55</v>
      </c>
      <c r="E60" s="200"/>
      <c r="F60" s="97">
        <f t="shared" si="3"/>
        <v>55</v>
      </c>
      <c r="G60" s="28"/>
    </row>
    <row r="61" spans="1:7">
      <c r="B61" s="92" t="s">
        <v>34</v>
      </c>
      <c r="C61" s="77" t="s">
        <v>33</v>
      </c>
      <c r="D61" s="97">
        <f>INDEX(Country_Index!$D$40:$I$49, MATCH(B61, Country_Index!$B$40:$B$49, 0), MATCH($C$3, Country_Index!$D$39:$I$39, 0))</f>
        <v>50</v>
      </c>
      <c r="E61" s="200"/>
      <c r="F61" s="97">
        <f t="shared" si="3"/>
        <v>50</v>
      </c>
      <c r="G61" s="28"/>
    </row>
    <row r="62" spans="1:7">
      <c r="B62" s="54" t="s">
        <v>35</v>
      </c>
      <c r="C62" s="77" t="s">
        <v>33</v>
      </c>
      <c r="D62" s="97">
        <f>INDEX(Country_Index!$D$40:$I$49, MATCH(B62, Country_Index!$B$40:$B$49, 0), MATCH($C$3, Country_Index!$D$39:$I$39, 0))</f>
        <v>30</v>
      </c>
      <c r="E62" s="200"/>
      <c r="F62" s="97">
        <f t="shared" si="3"/>
        <v>30</v>
      </c>
      <c r="G62" s="28"/>
    </row>
    <row r="63" spans="1:7">
      <c r="A63" s="13"/>
      <c r="B63" s="13"/>
      <c r="C63" s="13"/>
      <c r="D63" s="13"/>
      <c r="E63" s="13"/>
      <c r="F63" s="13"/>
      <c r="G63" s="30"/>
    </row>
  </sheetData>
  <sheetProtection algorithmName="SHA-512" hashValue="I8bESm9D9czDALv8DtF3REDVTwv66QIh7y6ICmP8ngFnkFlukrHq8tq8d9jCvb94zPuEUjfnI4vrGcPkOgSAXg==" saltValue="mwUxS3TOpR1PH4PIDn5sVQ==" spinCount="100000" sheet="1" objects="1" scenarios="1" formatCells="0" selectLockedCells="1" sort="0" autoFilter="0"/>
  <dataValidations count="1">
    <dataValidation type="list" allowBlank="1" showInputMessage="1" showErrorMessage="1" sqref="C8 C19:C20 C38 C49:C50" xr:uid="{3CCAB72F-E1E0-4C82-8591-F9260699A8E0}">
      <formula1>INDIRECT($C$3 &amp; "_SourceOptions")</formula1>
    </dataValidation>
  </dataValidations>
  <pageMargins left="0.7" right="0.7" top="0.75" bottom="0.75" header="0.3" footer="0.3"/>
  <pageSetup scale="29" orientation="portrait" r:id="rId1"/>
  <headerFooter>
    <oddFooter>&amp;R_x000D_&amp;1#&amp;"Calibri"&amp;10&amp;K000000 Official Use Only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7B3F2DB-5086-40B6-BFEE-6BA88247E318}">
          <x14:formula1>
            <xm:f>Country_Index!$D$5:$I$5</xm:f>
          </x14:formula1>
          <xm:sqref>C3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4CD-D114-4FAE-877E-6471AE3CE65A}">
  <sheetPr>
    <tabColor theme="5" tint="0.39997558519241921"/>
    <pageSetUpPr fitToPage="1"/>
  </sheetPr>
  <dimension ref="B1:I227"/>
  <sheetViews>
    <sheetView topLeftCell="A188" zoomScale="56" zoomScaleNormal="85" workbookViewId="0">
      <selection activeCell="C207" sqref="C207"/>
    </sheetView>
  </sheetViews>
  <sheetFormatPr defaultColWidth="8.54296875" defaultRowHeight="14.75"/>
  <cols>
    <col min="1" max="1" width="2" style="1" customWidth="1"/>
    <col min="2" max="2" width="14.54296875" style="1" customWidth="1"/>
    <col min="3" max="3" width="16.08984375" style="1" bestFit="1" customWidth="1"/>
    <col min="4" max="4" width="11.54296875" style="1" bestFit="1" customWidth="1"/>
    <col min="5" max="5" width="9.76953125" style="1" bestFit="1" customWidth="1"/>
    <col min="6" max="6" width="8.54296875" style="1" customWidth="1"/>
    <col min="7" max="9" width="9.76953125" style="1" bestFit="1" customWidth="1"/>
    <col min="10" max="16384" width="8.54296875" style="1"/>
  </cols>
  <sheetData>
    <row r="1" spans="2:2" s="14" customFormat="1">
      <c r="B1" s="15" t="s">
        <v>38</v>
      </c>
    </row>
    <row r="3" spans="2:2">
      <c r="B3" s="2"/>
    </row>
    <row r="26" spans="2:9">
      <c r="D26" s="9"/>
      <c r="E26" s="9"/>
      <c r="F26" s="9"/>
      <c r="G26" s="9"/>
      <c r="H26" s="9"/>
      <c r="I26" s="9"/>
    </row>
    <row r="27" spans="2:9">
      <c r="B27" s="205"/>
      <c r="C27" s="35"/>
      <c r="D27" s="36"/>
      <c r="E27" s="36"/>
      <c r="F27" s="36"/>
      <c r="G27" s="36"/>
      <c r="H27" s="36"/>
      <c r="I27" s="36"/>
    </row>
    <row r="28" spans="2:9">
      <c r="B28" s="205"/>
      <c r="C28" s="9"/>
      <c r="D28" s="3"/>
      <c r="E28" s="3"/>
      <c r="F28" s="3"/>
      <c r="G28" s="3"/>
      <c r="H28" s="3"/>
      <c r="I28" s="3"/>
    </row>
    <row r="29" spans="2:9">
      <c r="C29" s="9"/>
      <c r="D29" s="3"/>
      <c r="E29" s="3"/>
      <c r="F29" s="3"/>
      <c r="G29" s="3"/>
      <c r="H29" s="3"/>
      <c r="I29" s="3"/>
    </row>
    <row r="30" spans="2:9">
      <c r="B30" s="9"/>
      <c r="C30" s="9"/>
      <c r="D30" s="3"/>
      <c r="E30" s="3"/>
      <c r="F30" s="3"/>
      <c r="G30" s="3"/>
      <c r="H30" s="3"/>
      <c r="I30" s="3"/>
    </row>
    <row r="197" spans="2:6">
      <c r="B197" s="2" t="s">
        <v>39</v>
      </c>
    </row>
    <row r="198" spans="2:6">
      <c r="B198" s="148" t="s">
        <v>40</v>
      </c>
      <c r="C198" s="148" t="s">
        <v>41</v>
      </c>
      <c r="D198" s="148" t="s">
        <v>42</v>
      </c>
    </row>
    <row r="199" spans="2:6">
      <c r="B199" s="169" t="s">
        <v>43</v>
      </c>
      <c r="C199" s="201">
        <f>IF(AND(Inputs!$C$19="Domestic", Inputs!$C$20="Domestic"), 'Cost Model_Calculations'!I26, 0)</f>
        <v>3.1006450649999996E-2</v>
      </c>
      <c r="D199" s="169" t="s">
        <v>44</v>
      </c>
    </row>
    <row r="200" spans="2:6">
      <c r="B200" s="169" t="s">
        <v>45</v>
      </c>
      <c r="C200" s="201">
        <f>IF(Inputs!$C$20="Domestic", 'Cost Model_Calculations'!I48, 0)</f>
        <v>5.505790583904191E-2</v>
      </c>
      <c r="D200" s="169" t="s">
        <v>44</v>
      </c>
    </row>
    <row r="201" spans="2:6">
      <c r="B201" s="169" t="s">
        <v>46</v>
      </c>
      <c r="C201" s="201">
        <f>'Cost Model_Calculations'!I69</f>
        <v>6.39691097334808E-2</v>
      </c>
      <c r="D201" s="169" t="s">
        <v>44</v>
      </c>
    </row>
    <row r="202" spans="2:6">
      <c r="B202" s="169" t="s">
        <v>47</v>
      </c>
      <c r="C202" s="201">
        <f>'Cost Model_Calculations'!I92</f>
        <v>0.106344433</v>
      </c>
      <c r="D202" s="169" t="s">
        <v>44</v>
      </c>
    </row>
    <row r="203" spans="2:6" ht="29.5">
      <c r="B203" s="169" t="s">
        <v>48</v>
      </c>
      <c r="C203" s="201">
        <f>SUM(C199:C202)</f>
        <v>0.25637789922252269</v>
      </c>
      <c r="D203" s="169" t="s">
        <v>49</v>
      </c>
      <c r="F203" s="170"/>
    </row>
    <row r="205" spans="2:6">
      <c r="B205" s="2" t="s">
        <v>50</v>
      </c>
    </row>
    <row r="206" spans="2:6">
      <c r="B206" s="148" t="s">
        <v>40</v>
      </c>
      <c r="C206" s="148" t="s">
        <v>41</v>
      </c>
      <c r="D206" s="148" t="s">
        <v>42</v>
      </c>
    </row>
    <row r="207" spans="2:6">
      <c r="B207" s="169" t="s">
        <v>43</v>
      </c>
      <c r="C207" s="201">
        <f>IF(AND(Inputs!$C$49="Domestic", Inputs!$C$50="Domestic"), 'Cost Model_Calculations'!I122, 0)</f>
        <v>2.8053455349999992E-2</v>
      </c>
      <c r="D207" s="169" t="s">
        <v>44</v>
      </c>
    </row>
    <row r="208" spans="2:6">
      <c r="B208" s="169" t="s">
        <v>45</v>
      </c>
      <c r="C208" s="201">
        <f>IF(Inputs!$C$50="Domestic", 'Cost Model_Calculations'!I144, 0)</f>
        <v>5.8574954353656158E-2</v>
      </c>
      <c r="D208" s="169" t="s">
        <v>44</v>
      </c>
    </row>
    <row r="209" spans="2:4">
      <c r="B209" s="169" t="s">
        <v>46</v>
      </c>
      <c r="C209" s="201">
        <f>'Cost Model_Calculations'!I165</f>
        <v>5.9841302614170151E-2</v>
      </c>
      <c r="D209" s="169" t="s">
        <v>44</v>
      </c>
    </row>
    <row r="210" spans="2:4">
      <c r="B210" s="169" t="s">
        <v>47</v>
      </c>
      <c r="C210" s="201">
        <f>'Cost Model_Calculations'!I188</f>
        <v>0.106344433</v>
      </c>
      <c r="D210" s="169" t="s">
        <v>44</v>
      </c>
    </row>
    <row r="211" spans="2:4" ht="29.5">
      <c r="B211" s="169" t="s">
        <v>48</v>
      </c>
      <c r="C211" s="201">
        <f>SUM(C207:C210)</f>
        <v>0.25281414531782631</v>
      </c>
      <c r="D211" s="169" t="s">
        <v>49</v>
      </c>
    </row>
    <row r="213" spans="2:4">
      <c r="B213" s="2" t="s">
        <v>51</v>
      </c>
    </row>
    <row r="214" spans="2:4">
      <c r="B214" s="148" t="s">
        <v>40</v>
      </c>
      <c r="C214" s="148" t="s">
        <v>41</v>
      </c>
      <c r="D214" s="148" t="s">
        <v>42</v>
      </c>
    </row>
    <row r="215" spans="2:4">
      <c r="B215" s="169" t="s">
        <v>43</v>
      </c>
      <c r="C215" s="201">
        <f>IF(AND(Inputs!$C$19="Domestic", Inputs!$C$20="Domestic"), 'Cost Model_Calculations'!N26, 0)</f>
        <v>2.7114521175E-2</v>
      </c>
      <c r="D215" s="169" t="s">
        <v>44</v>
      </c>
    </row>
    <row r="216" spans="2:4">
      <c r="B216" s="169" t="s">
        <v>45</v>
      </c>
      <c r="C216" s="201">
        <f>IF(Inputs!$C$20="Domestic", 'Cost Model_Calculations'!N48, 0)</f>
        <v>5.3938830317493858E-2</v>
      </c>
      <c r="D216" s="169" t="s">
        <v>44</v>
      </c>
    </row>
    <row r="217" spans="2:4">
      <c r="B217" s="169" t="s">
        <v>46</v>
      </c>
      <c r="C217" s="201">
        <f>'Cost Model_Calculations'!N69</f>
        <v>5.7769555683391698E-2</v>
      </c>
      <c r="D217" s="169" t="s">
        <v>44</v>
      </c>
    </row>
    <row r="218" spans="2:4">
      <c r="B218" s="169" t="s">
        <v>47</v>
      </c>
      <c r="C218" s="201">
        <f>'Cost Model_Calculations'!N92</f>
        <v>0.10728455800000002</v>
      </c>
      <c r="D218" s="169" t="s">
        <v>44</v>
      </c>
    </row>
    <row r="219" spans="2:4" ht="29.5">
      <c r="B219" s="169" t="s">
        <v>48</v>
      </c>
      <c r="C219" s="201">
        <f>SUM(C215:C218)</f>
        <v>0.24610746517588555</v>
      </c>
      <c r="D219" s="169" t="s">
        <v>49</v>
      </c>
    </row>
    <row r="221" spans="2:4">
      <c r="B221" s="2" t="s">
        <v>52</v>
      </c>
    </row>
    <row r="222" spans="2:4">
      <c r="B222" s="148" t="s">
        <v>40</v>
      </c>
      <c r="C222" s="148" t="s">
        <v>41</v>
      </c>
      <c r="D222" s="148" t="s">
        <v>42</v>
      </c>
    </row>
    <row r="223" spans="2:4">
      <c r="B223" s="169" t="s">
        <v>43</v>
      </c>
      <c r="C223" s="201">
        <f>IF(AND(Inputs!$C$49="Domestic", Inputs!$C$50="Domestic"), 'Cost Model_Calculations'!N122, 0)</f>
        <v>2.7257984249999999E-2</v>
      </c>
      <c r="D223" s="169" t="s">
        <v>44</v>
      </c>
    </row>
    <row r="224" spans="2:4">
      <c r="B224" s="169" t="s">
        <v>45</v>
      </c>
      <c r="C224" s="201">
        <f>IF(Inputs!$C$50="Domestic", 'Cost Model_Calculations'!N144, 0)</f>
        <v>5.7565417786801104E-2</v>
      </c>
      <c r="D224" s="169" t="s">
        <v>44</v>
      </c>
    </row>
    <row r="225" spans="2:4">
      <c r="B225" s="169" t="s">
        <v>46</v>
      </c>
      <c r="C225" s="201">
        <f>'Cost Model_Calculations'!N165</f>
        <v>5.600760988618525E-2</v>
      </c>
      <c r="D225" s="169" t="s">
        <v>44</v>
      </c>
    </row>
    <row r="226" spans="2:4">
      <c r="B226" s="169" t="s">
        <v>47</v>
      </c>
      <c r="C226" s="201">
        <f>'Cost Model_Calculations'!N188</f>
        <v>0.10762300300000001</v>
      </c>
      <c r="D226" s="169" t="s">
        <v>44</v>
      </c>
    </row>
    <row r="227" spans="2:4" ht="29.5">
      <c r="B227" s="169" t="s">
        <v>48</v>
      </c>
      <c r="C227" s="201">
        <f>SUM(C223:C226)</f>
        <v>0.24845401492298635</v>
      </c>
      <c r="D227" s="169" t="s">
        <v>49</v>
      </c>
    </row>
  </sheetData>
  <sheetProtection algorithmName="SHA-512" hashValue="DJVh4J1p0CU9J7hmoii3xZ+fpidfbEvP5haIqBJ0KT2NPSIG50U77wFqzhY1CnEk8GiI4rfTYy26NE1NwR5lIw==" saltValue="bkxv60NBIjxWxey5kX30tg==" spinCount="100000" sheet="1" scenarios="1"/>
  <mergeCells count="1">
    <mergeCell ref="B27:B28"/>
  </mergeCells>
  <pageMargins left="0.7" right="0.7" top="0.75" bottom="0.75" header="0.3" footer="0.3"/>
  <pageSetup scale="46" fitToHeight="4" orientation="landscape" horizontalDpi="1200" verticalDpi="1200" r:id="rId1"/>
  <headerFooter>
    <oddFooter>&amp;R_x000D_&amp;1#&amp;"Calibri"&amp;10&amp;K000000 Official Use Only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82099-2ACA-4343-AC84-51E0CD00F286}">
  <sheetPr>
    <tabColor theme="9" tint="0.59999389629810485"/>
  </sheetPr>
  <dimension ref="A1:AB193"/>
  <sheetViews>
    <sheetView topLeftCell="A57" zoomScale="70" zoomScaleNormal="70" workbookViewId="0">
      <selection activeCell="P22" sqref="P22"/>
    </sheetView>
  </sheetViews>
  <sheetFormatPr defaultColWidth="8.54296875" defaultRowHeight="14.75"/>
  <cols>
    <col min="1" max="1" width="2" style="1" customWidth="1"/>
    <col min="2" max="2" width="39.76953125" style="1" bestFit="1" customWidth="1"/>
    <col min="3" max="3" width="18.08984375" style="1" customWidth="1"/>
    <col min="4" max="4" width="15.08984375" style="1" customWidth="1"/>
    <col min="5" max="5" width="14.08984375" style="1" customWidth="1"/>
    <col min="6" max="6" width="14.76953125" style="1" customWidth="1"/>
    <col min="7" max="7" width="13.31640625" style="1" customWidth="1"/>
    <col min="8" max="8" width="14.76953125" style="1" customWidth="1"/>
    <col min="9" max="9" width="13.76953125" style="1" customWidth="1"/>
    <col min="10" max="10" width="15.08984375" style="1" customWidth="1"/>
    <col min="11" max="11" width="13.54296875" style="1" customWidth="1"/>
    <col min="12" max="13" width="13.76953125" style="1" customWidth="1"/>
    <col min="14" max="14" width="16.08984375" style="1" customWidth="1"/>
    <col min="15" max="15" width="5.54296875" style="1" customWidth="1"/>
    <col min="16" max="16" width="25.76953125" style="1" customWidth="1"/>
    <col min="17" max="17" width="12.31640625" style="1" bestFit="1" customWidth="1"/>
    <col min="18" max="18" width="18.76953125" style="3" customWidth="1"/>
    <col min="19" max="19" width="18" style="3" customWidth="1"/>
    <col min="20" max="20" width="11.08984375" style="3" customWidth="1"/>
    <col min="21" max="21" width="11.76953125" style="3" customWidth="1"/>
    <col min="22" max="22" width="13.08984375" style="3" customWidth="1"/>
    <col min="23" max="23" width="12.08984375" style="3" customWidth="1"/>
    <col min="24" max="24" width="11.31640625" style="3" customWidth="1"/>
    <col min="25" max="28" width="12.31640625" style="3" bestFit="1" customWidth="1"/>
    <col min="29" max="16384" width="8.54296875" style="1"/>
  </cols>
  <sheetData>
    <row r="1" spans="1:28" s="10" customFormat="1">
      <c r="B1" s="80" t="s">
        <v>53</v>
      </c>
      <c r="R1" s="81"/>
      <c r="S1" s="81"/>
      <c r="T1" s="81"/>
      <c r="U1" s="81"/>
      <c r="V1" s="81"/>
      <c r="W1" s="81"/>
      <c r="X1" s="81"/>
      <c r="Y1" s="81"/>
      <c r="Z1" s="81"/>
      <c r="AA1" s="81"/>
      <c r="AB1" s="81"/>
    </row>
    <row r="3" spans="1:28">
      <c r="A3" s="13"/>
      <c r="B3" s="48" t="s">
        <v>4</v>
      </c>
      <c r="C3" s="31" t="s">
        <v>5</v>
      </c>
      <c r="D3" s="13"/>
      <c r="E3" s="13"/>
      <c r="F3" s="13"/>
      <c r="G3" s="13"/>
      <c r="H3" s="53"/>
      <c r="I3" s="53"/>
      <c r="J3" s="53"/>
      <c r="K3" s="53"/>
      <c r="L3" s="53"/>
      <c r="M3" s="53"/>
      <c r="N3" s="53"/>
      <c r="O3" s="13"/>
    </row>
    <row r="4" spans="1:28">
      <c r="B4" s="4"/>
      <c r="C4" s="3"/>
      <c r="D4" s="3"/>
      <c r="E4" s="3"/>
      <c r="F4" s="3"/>
      <c r="G4" s="3"/>
      <c r="H4" s="3"/>
      <c r="I4" s="3"/>
      <c r="J4" s="3"/>
      <c r="K4" s="3"/>
      <c r="L4" s="3"/>
      <c r="M4" s="3"/>
      <c r="N4" s="3"/>
      <c r="O4" s="27"/>
    </row>
    <row r="5" spans="1:28">
      <c r="B5" s="5" t="s">
        <v>54</v>
      </c>
      <c r="C5" s="3"/>
      <c r="D5" s="6">
        <v>2020</v>
      </c>
      <c r="E5" s="6">
        <v>2021</v>
      </c>
      <c r="F5" s="6">
        <v>2022</v>
      </c>
      <c r="G5" s="6">
        <v>2023</v>
      </c>
      <c r="H5" s="6">
        <v>2024</v>
      </c>
      <c r="I5" s="6">
        <v>2025</v>
      </c>
      <c r="J5" s="7">
        <v>2026</v>
      </c>
      <c r="K5" s="7">
        <v>2027</v>
      </c>
      <c r="L5" s="7">
        <v>2028</v>
      </c>
      <c r="M5" s="7">
        <v>2029</v>
      </c>
      <c r="N5" s="7">
        <v>2030</v>
      </c>
      <c r="O5" s="144"/>
    </row>
    <row r="6" spans="1:28">
      <c r="B6" s="17" t="s">
        <v>55</v>
      </c>
      <c r="C6" s="18" t="s">
        <v>56</v>
      </c>
      <c r="D6" s="8">
        <v>80</v>
      </c>
      <c r="E6" s="8">
        <v>60</v>
      </c>
      <c r="F6" s="8">
        <v>55</v>
      </c>
      <c r="G6" s="8">
        <v>50</v>
      </c>
      <c r="H6" s="8">
        <v>45</v>
      </c>
      <c r="I6" s="8">
        <v>40</v>
      </c>
      <c r="J6" s="62">
        <v>39</v>
      </c>
      <c r="K6" s="62">
        <v>38.5</v>
      </c>
      <c r="L6" s="62">
        <v>38</v>
      </c>
      <c r="M6" s="62">
        <v>38</v>
      </c>
      <c r="N6" s="62">
        <v>37.799999999999997</v>
      </c>
      <c r="O6" s="144"/>
    </row>
    <row r="7" spans="1:28">
      <c r="B7" s="17" t="s">
        <v>57</v>
      </c>
      <c r="C7" s="18" t="s">
        <v>22</v>
      </c>
      <c r="D7" s="8">
        <v>1.6</v>
      </c>
      <c r="E7" s="8">
        <v>3</v>
      </c>
      <c r="F7" s="8">
        <v>3</v>
      </c>
      <c r="G7" s="8">
        <v>2.5</v>
      </c>
      <c r="H7" s="8">
        <v>1.7</v>
      </c>
      <c r="I7" s="8">
        <v>1.7</v>
      </c>
      <c r="J7" s="62">
        <v>1.7</v>
      </c>
      <c r="K7" s="62">
        <v>1.7</v>
      </c>
      <c r="L7" s="62">
        <v>1.7</v>
      </c>
      <c r="M7" s="62">
        <v>1.7</v>
      </c>
      <c r="N7" s="62">
        <v>1.7</v>
      </c>
      <c r="O7" s="145"/>
    </row>
    <row r="8" spans="1:28">
      <c r="B8" s="17" t="s">
        <v>58</v>
      </c>
      <c r="C8" s="18" t="s">
        <v>15</v>
      </c>
      <c r="D8" s="8">
        <f>Inputs!$F$11</f>
        <v>50000</v>
      </c>
      <c r="E8" s="8">
        <f>Inputs!$F$11</f>
        <v>50000</v>
      </c>
      <c r="F8" s="8">
        <f>Inputs!$F$11</f>
        <v>50000</v>
      </c>
      <c r="G8" s="8">
        <f>Inputs!$F$11</f>
        <v>50000</v>
      </c>
      <c r="H8" s="8">
        <f>Inputs!$F$11</f>
        <v>50000</v>
      </c>
      <c r="I8" s="8">
        <f>Inputs!$F$11</f>
        <v>50000</v>
      </c>
      <c r="J8" s="62">
        <f>Inputs!$F$11</f>
        <v>50000</v>
      </c>
      <c r="K8" s="62">
        <f>Inputs!$F$11</f>
        <v>50000</v>
      </c>
      <c r="L8" s="62">
        <f>Inputs!$F$12</f>
        <v>70000</v>
      </c>
      <c r="M8" s="62">
        <f>Inputs!$F$12</f>
        <v>70000</v>
      </c>
      <c r="N8" s="62">
        <f>Inputs!$F$12</f>
        <v>70000</v>
      </c>
      <c r="O8" s="145"/>
    </row>
    <row r="9" spans="1:28">
      <c r="B9" s="49" t="s">
        <v>59</v>
      </c>
      <c r="C9" s="18" t="s">
        <v>60</v>
      </c>
      <c r="D9" s="8">
        <f>Assumptions!$D$11</f>
        <v>1.26</v>
      </c>
      <c r="E9" s="8">
        <f>Assumptions!$D$11</f>
        <v>1.26</v>
      </c>
      <c r="F9" s="8">
        <f>Assumptions!$D$11</f>
        <v>1.26</v>
      </c>
      <c r="G9" s="8">
        <f>Assumptions!$D$11</f>
        <v>1.26</v>
      </c>
      <c r="H9" s="8">
        <f>Assumptions!$D$11</f>
        <v>1.26</v>
      </c>
      <c r="I9" s="8">
        <f>Assumptions!$D$11</f>
        <v>1.26</v>
      </c>
      <c r="J9" s="62">
        <f>Assumptions!$D$11</f>
        <v>1.26</v>
      </c>
      <c r="K9" s="62">
        <f>Assumptions!$D$11</f>
        <v>1.26</v>
      </c>
      <c r="L9" s="62">
        <v>1.2</v>
      </c>
      <c r="M9" s="62">
        <v>1.19</v>
      </c>
      <c r="N9" s="62">
        <v>1.18</v>
      </c>
      <c r="O9" s="145"/>
    </row>
    <row r="10" spans="1:28">
      <c r="B10" s="49" t="s">
        <v>61</v>
      </c>
      <c r="C10" s="18" t="s">
        <v>62</v>
      </c>
      <c r="D10" s="8">
        <f>Assumptions!$D$12</f>
        <v>2.1</v>
      </c>
      <c r="E10" s="8">
        <f>Assumptions!$D$12</f>
        <v>2.1</v>
      </c>
      <c r="F10" s="8">
        <f>Assumptions!$D$12</f>
        <v>2.1</v>
      </c>
      <c r="G10" s="8">
        <f>Assumptions!$D$12</f>
        <v>2.1</v>
      </c>
      <c r="H10" s="8">
        <f>Assumptions!$D$12</f>
        <v>2.1</v>
      </c>
      <c r="I10" s="8">
        <f>Assumptions!$D$12</f>
        <v>2.1</v>
      </c>
      <c r="J10" s="62">
        <v>2</v>
      </c>
      <c r="K10" s="62">
        <v>2</v>
      </c>
      <c r="L10" s="62">
        <v>1.95</v>
      </c>
      <c r="M10" s="62">
        <v>1.9</v>
      </c>
      <c r="N10" s="62">
        <v>1.89</v>
      </c>
      <c r="O10" s="145"/>
    </row>
    <row r="11" spans="1:28">
      <c r="B11" s="49" t="s">
        <v>63</v>
      </c>
      <c r="C11" s="18" t="s">
        <v>22</v>
      </c>
      <c r="D11" s="8">
        <v>1.2</v>
      </c>
      <c r="E11" s="8">
        <v>1.2</v>
      </c>
      <c r="F11" s="8">
        <v>1.2</v>
      </c>
      <c r="G11" s="8">
        <v>1.2</v>
      </c>
      <c r="H11" s="8">
        <v>1.2</v>
      </c>
      <c r="I11" s="8">
        <v>1.2</v>
      </c>
      <c r="J11" s="58">
        <v>1.2</v>
      </c>
      <c r="K11" s="58">
        <v>1.2</v>
      </c>
      <c r="L11" s="58">
        <v>1.2</v>
      </c>
      <c r="M11" s="58">
        <v>1.2</v>
      </c>
      <c r="N11" s="58">
        <v>1.2</v>
      </c>
      <c r="O11" s="145"/>
    </row>
    <row r="12" spans="1:28">
      <c r="C12" s="3"/>
      <c r="D12" s="3"/>
      <c r="E12" s="3"/>
      <c r="F12" s="3"/>
      <c r="G12" s="3"/>
      <c r="H12" s="3"/>
      <c r="I12" s="3"/>
      <c r="J12" s="3"/>
      <c r="K12" s="3"/>
      <c r="L12" s="3"/>
      <c r="M12" s="3"/>
      <c r="N12" s="3"/>
      <c r="O12" s="145"/>
    </row>
    <row r="13" spans="1:28">
      <c r="B13" s="5" t="s">
        <v>64</v>
      </c>
      <c r="C13" s="3"/>
      <c r="D13" s="6">
        <v>2020</v>
      </c>
      <c r="E13" s="6">
        <v>2021</v>
      </c>
      <c r="F13" s="6">
        <v>2022</v>
      </c>
      <c r="G13" s="6">
        <v>2023</v>
      </c>
      <c r="H13" s="6">
        <v>2024</v>
      </c>
      <c r="I13" s="6">
        <v>2025</v>
      </c>
      <c r="J13" s="7">
        <v>2026</v>
      </c>
      <c r="K13" s="7">
        <v>2027</v>
      </c>
      <c r="L13" s="7">
        <v>2028</v>
      </c>
      <c r="M13" s="7">
        <v>2029</v>
      </c>
      <c r="N13" s="7">
        <v>2030</v>
      </c>
      <c r="O13" s="145"/>
    </row>
    <row r="14" spans="1:28">
      <c r="B14" s="17" t="s">
        <v>65</v>
      </c>
      <c r="C14" s="18" t="s">
        <v>22</v>
      </c>
      <c r="D14" s="57">
        <f>(((D8*0.9)*'Cost Model_Calculations'!$H$24)/'Cost Model_Calculations'!D8)*Assumptions!$D$13</f>
        <v>1.2657015</v>
      </c>
      <c r="E14" s="57">
        <f>(((E8*0.9)*'Cost Model_Calculations'!$H$24)/'Cost Model_Calculations'!E8)*Assumptions!$D$13</f>
        <v>1.2657015</v>
      </c>
      <c r="F14" s="57">
        <f>(((F8*0.9)*'Cost Model_Calculations'!$H$24)/'Cost Model_Calculations'!F8)*Assumptions!$D$13</f>
        <v>1.2657015</v>
      </c>
      <c r="G14" s="57">
        <f>(((G8*0.9)*'Cost Model_Calculations'!$H$24)/'Cost Model_Calculations'!G8)*Assumptions!$D$13</f>
        <v>1.2657015</v>
      </c>
      <c r="H14" s="57">
        <f>(((H8*0.9)*H24)/'Cost Model_Calculations'!H8)*Assumptions!$D$13</f>
        <v>1.2657015</v>
      </c>
      <c r="I14" s="133">
        <f>(((I8*0.9)*I24)/'Cost Model_Calculations'!I8)*Assumptions!$D$13</f>
        <v>1.2191264999999998</v>
      </c>
      <c r="J14" s="114">
        <f>(((J8*0.9)*J24)/'Cost Model_Calculations'!J8)*Assumptions!$D$13</f>
        <v>1.2098114999999998</v>
      </c>
      <c r="K14" s="114">
        <f>(((K8*0.9)*K24)/'Cost Model_Calculations'!K8)*Assumptions!$D$13</f>
        <v>1.2051539999999998</v>
      </c>
      <c r="L14" s="114">
        <f>(((L8*0.9)*L24)/'Cost Model_Calculations'!L8)*Assumptions!$D$13</f>
        <v>1.1899395000000001</v>
      </c>
      <c r="M14" s="114">
        <f>(((M8*0.9)*M24)/'Cost Model_Calculations'!M8)*Assumptions!$D$13</f>
        <v>1.1881799999999998</v>
      </c>
      <c r="N14" s="114">
        <f>(((N8*0.9)*N24)/'Cost Model_Calculations'!N8)*Assumptions!$D$13</f>
        <v>1.1845575000000002</v>
      </c>
      <c r="O14" s="28"/>
    </row>
    <row r="15" spans="1:28">
      <c r="B15" s="17" t="s">
        <v>66</v>
      </c>
      <c r="C15" s="18" t="s">
        <v>22</v>
      </c>
      <c r="D15" s="8">
        <f>D6*Inputs!$F$13</f>
        <v>7.1999999999999993</v>
      </c>
      <c r="E15" s="8">
        <f>E6*Inputs!$F$13</f>
        <v>5.3999999999999995</v>
      </c>
      <c r="F15" s="8">
        <f>F6*Inputs!$F$13</f>
        <v>4.95</v>
      </c>
      <c r="G15" s="8">
        <f>G6*Inputs!$F$13</f>
        <v>4.5</v>
      </c>
      <c r="H15" s="8">
        <f>H6*Inputs!$F$13</f>
        <v>4.05</v>
      </c>
      <c r="I15" s="86">
        <f>I6*Inputs!$F$13</f>
        <v>3.5999999999999996</v>
      </c>
      <c r="J15" s="62">
        <f>J6*Inputs!$F$13</f>
        <v>3.51</v>
      </c>
      <c r="K15" s="62">
        <f>K6*Inputs!$F$13</f>
        <v>3.4649999999999999</v>
      </c>
      <c r="L15" s="62">
        <f>L6*Inputs!$F$13</f>
        <v>3.42</v>
      </c>
      <c r="M15" s="62">
        <f>M6*Inputs!$F$13</f>
        <v>3.42</v>
      </c>
      <c r="N15" s="114">
        <f>N6*Inputs!$F$13</f>
        <v>3.4019999999999997</v>
      </c>
      <c r="O15" s="28"/>
    </row>
    <row r="16" spans="1:28">
      <c r="B16" s="17" t="s">
        <v>67</v>
      </c>
      <c r="C16" s="18" t="s">
        <v>22</v>
      </c>
      <c r="D16" s="8">
        <f>Inputs!$F$16/Assumptions!$D$7</f>
        <v>0.35</v>
      </c>
      <c r="E16" s="8">
        <f>Inputs!$F$16/Assumptions!$D$7</f>
        <v>0.35</v>
      </c>
      <c r="F16" s="8">
        <f>Inputs!$F$16/Assumptions!$D$7</f>
        <v>0.35</v>
      </c>
      <c r="G16" s="8">
        <f>Inputs!$F$16/Assumptions!$D$7</f>
        <v>0.35</v>
      </c>
      <c r="H16" s="8">
        <f>Inputs!$F$16/Assumptions!$D$7</f>
        <v>0.35</v>
      </c>
      <c r="I16" s="8">
        <f>Inputs!$F$16/Assumptions!$D$7</f>
        <v>0.35</v>
      </c>
      <c r="J16" s="58">
        <f>Inputs!$F$16/Assumptions!$D$7</f>
        <v>0.35</v>
      </c>
      <c r="K16" s="58">
        <f>Inputs!$F$16/Assumptions!$D$7</f>
        <v>0.35</v>
      </c>
      <c r="L16" s="58">
        <f>Inputs!$F$16/Assumptions!$D$7</f>
        <v>0.35</v>
      </c>
      <c r="M16" s="58">
        <f>Inputs!$F$16/Assumptions!$D$7</f>
        <v>0.35</v>
      </c>
      <c r="N16" s="58">
        <f>Inputs!$F$16/Assumptions!$D$7</f>
        <v>0.35</v>
      </c>
      <c r="O16" s="28"/>
    </row>
    <row r="17" spans="2:28">
      <c r="B17" s="17" t="s">
        <v>68</v>
      </c>
      <c r="C17" s="18" t="s">
        <v>22</v>
      </c>
      <c r="D17" s="8">
        <f>Inputs!$F$15/Assumptions!$D$6</f>
        <v>2</v>
      </c>
      <c r="E17" s="8">
        <f>Inputs!$F$15/Assumptions!$D$6</f>
        <v>2</v>
      </c>
      <c r="F17" s="8">
        <f>Inputs!$F$15/Assumptions!$D$6</f>
        <v>2</v>
      </c>
      <c r="G17" s="8">
        <f>Inputs!$F$15/Assumptions!$D$6</f>
        <v>2</v>
      </c>
      <c r="H17" s="8">
        <f>Inputs!$F$15/Assumptions!$D$6</f>
        <v>2</v>
      </c>
      <c r="I17" s="8">
        <f>Inputs!$F$15/Assumptions!$D$6</f>
        <v>2</v>
      </c>
      <c r="J17" s="58">
        <f>Inputs!$F$15/Assumptions!$D$6</f>
        <v>2</v>
      </c>
      <c r="K17" s="58">
        <f>Inputs!$F$15/Assumptions!$D$6</f>
        <v>2</v>
      </c>
      <c r="L17" s="58">
        <f>Inputs!$F$15/Assumptions!$D$6</f>
        <v>2</v>
      </c>
      <c r="M17" s="58">
        <f>Inputs!$F$15/Assumptions!$D$6</f>
        <v>2</v>
      </c>
      <c r="N17" s="58">
        <f>Inputs!$F$15/Assumptions!$D$6</f>
        <v>2</v>
      </c>
      <c r="O17" s="28"/>
    </row>
    <row r="18" spans="2:28">
      <c r="B18" s="17" t="s">
        <v>69</v>
      </c>
      <c r="C18" s="18" t="s">
        <v>22</v>
      </c>
      <c r="D18" s="8">
        <f>Assumptions!$D$8/100*(Inputs!$F$15+Inputs!$F$16)</f>
        <v>1.08</v>
      </c>
      <c r="E18" s="8">
        <f>Assumptions!$D$8/100*(Inputs!$F$15+Inputs!$F$16)</f>
        <v>1.08</v>
      </c>
      <c r="F18" s="8">
        <f>Assumptions!$D$8/100*(Inputs!$F$15+Inputs!$F$16)</f>
        <v>1.08</v>
      </c>
      <c r="G18" s="8">
        <f>Assumptions!$D$8/100*(Inputs!$F$15+Inputs!$F$16)</f>
        <v>1.08</v>
      </c>
      <c r="H18" s="8">
        <f>Assumptions!$D$8/100*(Inputs!$F$15+Inputs!$F$16)</f>
        <v>1.08</v>
      </c>
      <c r="I18" s="8">
        <f>Assumptions!$D$8/100*(Inputs!$F$15+Inputs!$F$16)</f>
        <v>1.08</v>
      </c>
      <c r="J18" s="58">
        <f>Assumptions!$D$8/100*(Inputs!$F$15+Inputs!$F$16)</f>
        <v>1.08</v>
      </c>
      <c r="K18" s="58">
        <f>Assumptions!$D$8/100*(Inputs!$F$15+Inputs!$F$16)</f>
        <v>1.08</v>
      </c>
      <c r="L18" s="58">
        <f>Assumptions!$D$8/100*(Inputs!$F$15+Inputs!$F$16)</f>
        <v>1.08</v>
      </c>
      <c r="M18" s="58">
        <f>Assumptions!$D$8/100*(Inputs!$F$15+Inputs!$F$16)</f>
        <v>1.08</v>
      </c>
      <c r="N18" s="58">
        <f>Assumptions!$D$8/100*(Inputs!$F$15+Inputs!$F$16)</f>
        <v>1.08</v>
      </c>
      <c r="O18" s="28"/>
    </row>
    <row r="19" spans="2:28">
      <c r="B19" s="17" t="s">
        <v>70</v>
      </c>
      <c r="C19" s="18" t="s">
        <v>22</v>
      </c>
      <c r="D19" s="57">
        <f>Assumptions!$D$9*Inputs!$F$14</f>
        <v>1.407</v>
      </c>
      <c r="E19" s="57">
        <f>Assumptions!$D$9*Inputs!$F$14</f>
        <v>1.407</v>
      </c>
      <c r="F19" s="57">
        <f>Assumptions!$D$9*Inputs!$F$14</f>
        <v>1.407</v>
      </c>
      <c r="G19" s="57">
        <f>Assumptions!$D$9*Inputs!$F$14</f>
        <v>1.407</v>
      </c>
      <c r="H19" s="57">
        <f>Assumptions!$D$9*Inputs!$F$14</f>
        <v>1.407</v>
      </c>
      <c r="I19" s="57">
        <f>Assumptions!$D$9*Inputs!$F$14</f>
        <v>1.407</v>
      </c>
      <c r="J19" s="58">
        <f>Assumptions!$D$9*Inputs!$F$14</f>
        <v>1.407</v>
      </c>
      <c r="K19" s="58">
        <f>Assumptions!$D$9*Inputs!$F$14</f>
        <v>1.407</v>
      </c>
      <c r="L19" s="58">
        <f>Assumptions!$D$9*Inputs!$F$14</f>
        <v>1.407</v>
      </c>
      <c r="M19" s="58">
        <f>Assumptions!$D$9*Inputs!$F$14</f>
        <v>1.407</v>
      </c>
      <c r="N19" s="58">
        <f>Assumptions!$D$9*Inputs!$F$14</f>
        <v>1.407</v>
      </c>
      <c r="O19" s="28"/>
      <c r="P19" s="141"/>
      <c r="Q19" s="20"/>
      <c r="R19" s="142"/>
      <c r="S19" s="142"/>
      <c r="T19" s="142"/>
      <c r="U19" s="142"/>
      <c r="V19" s="143"/>
      <c r="W19" s="143"/>
      <c r="X19" s="143"/>
      <c r="Y19" s="143"/>
      <c r="Z19" s="143"/>
      <c r="AA19" s="143"/>
      <c r="AB19" s="143"/>
    </row>
    <row r="20" spans="2:28">
      <c r="B20" s="17" t="s">
        <v>71</v>
      </c>
      <c r="C20" s="18" t="s">
        <v>22</v>
      </c>
      <c r="D20" s="89">
        <f>D7*D9</f>
        <v>2.016</v>
      </c>
      <c r="E20" s="89">
        <f t="shared" ref="E20:M20" si="0">E7*E9</f>
        <v>3.7800000000000002</v>
      </c>
      <c r="F20" s="89">
        <f t="shared" si="0"/>
        <v>3.7800000000000002</v>
      </c>
      <c r="G20" s="89">
        <f t="shared" si="0"/>
        <v>3.15</v>
      </c>
      <c r="H20" s="8">
        <f t="shared" si="0"/>
        <v>2.1419999999999999</v>
      </c>
      <c r="I20" s="86">
        <f t="shared" si="0"/>
        <v>2.1419999999999999</v>
      </c>
      <c r="J20" s="62">
        <f t="shared" si="0"/>
        <v>2.1419999999999999</v>
      </c>
      <c r="K20" s="62">
        <f t="shared" si="0"/>
        <v>2.1419999999999999</v>
      </c>
      <c r="L20" s="62">
        <f t="shared" si="0"/>
        <v>2.04</v>
      </c>
      <c r="M20" s="62">
        <f t="shared" si="0"/>
        <v>2.0229999999999997</v>
      </c>
      <c r="N20" s="62">
        <f>N7*N9</f>
        <v>2.0059999999999998</v>
      </c>
      <c r="O20" s="28"/>
      <c r="P20" s="141"/>
      <c r="Q20" s="20"/>
      <c r="R20" s="142"/>
      <c r="S20" s="142"/>
      <c r="T20" s="142"/>
      <c r="U20" s="142"/>
      <c r="V20" s="143"/>
      <c r="W20" s="143"/>
      <c r="X20" s="143"/>
      <c r="Y20" s="143"/>
      <c r="Z20" s="143"/>
      <c r="AA20" s="143"/>
      <c r="AB20" s="143"/>
    </row>
    <row r="21" spans="2:28" ht="15.5" thickBot="1">
      <c r="B21" s="39" t="s">
        <v>63</v>
      </c>
      <c r="C21" s="178" t="s">
        <v>22</v>
      </c>
      <c r="D21" s="179">
        <f>D11</f>
        <v>1.2</v>
      </c>
      <c r="E21" s="41">
        <f t="shared" ref="E21:N21" si="1">E11</f>
        <v>1.2</v>
      </c>
      <c r="F21" s="41">
        <f t="shared" si="1"/>
        <v>1.2</v>
      </c>
      <c r="G21" s="41">
        <f t="shared" si="1"/>
        <v>1.2</v>
      </c>
      <c r="H21" s="41">
        <f t="shared" si="1"/>
        <v>1.2</v>
      </c>
      <c r="I21" s="41">
        <f t="shared" si="1"/>
        <v>1.2</v>
      </c>
      <c r="J21" s="120">
        <f t="shared" si="1"/>
        <v>1.2</v>
      </c>
      <c r="K21" s="120">
        <f t="shared" si="1"/>
        <v>1.2</v>
      </c>
      <c r="L21" s="120">
        <f t="shared" si="1"/>
        <v>1.2</v>
      </c>
      <c r="M21" s="120">
        <f t="shared" si="1"/>
        <v>1.2</v>
      </c>
      <c r="N21" s="120">
        <f t="shared" si="1"/>
        <v>1.2</v>
      </c>
      <c r="O21" s="28"/>
      <c r="P21" s="141"/>
      <c r="Q21" s="20"/>
      <c r="R21" s="142"/>
      <c r="S21" s="142"/>
      <c r="T21" s="142"/>
      <c r="U21" s="142"/>
      <c r="V21" s="143"/>
      <c r="W21" s="143"/>
      <c r="X21" s="143"/>
      <c r="Y21" s="143"/>
      <c r="Z21" s="143"/>
      <c r="AA21" s="143"/>
      <c r="AB21" s="143"/>
    </row>
    <row r="22" spans="2:28">
      <c r="B22" s="37" t="s">
        <v>72</v>
      </c>
      <c r="C22" s="171" t="s">
        <v>22</v>
      </c>
      <c r="D22" s="185">
        <f>SUM(D15:D21)</f>
        <v>15.252999999999998</v>
      </c>
      <c r="E22" s="134">
        <f>SUM(E15:E21)</f>
        <v>15.216999999999999</v>
      </c>
      <c r="F22" s="134">
        <f>SUM(F15:F21)</f>
        <v>14.766999999999999</v>
      </c>
      <c r="G22" s="134">
        <f>SUM(G15:G21)</f>
        <v>13.686999999999999</v>
      </c>
      <c r="H22" s="134">
        <f>SUM(H15:H21)</f>
        <v>12.228999999999999</v>
      </c>
      <c r="I22" s="55">
        <f t="shared" ref="I22:N22" si="2">SUM(I15:I21)</f>
        <v>11.778999999999998</v>
      </c>
      <c r="J22" s="84">
        <f t="shared" si="2"/>
        <v>11.688999999999998</v>
      </c>
      <c r="K22" s="84">
        <f t="shared" si="2"/>
        <v>11.643999999999998</v>
      </c>
      <c r="L22" s="84">
        <f t="shared" si="2"/>
        <v>11.497</v>
      </c>
      <c r="M22" s="84">
        <f t="shared" si="2"/>
        <v>11.479999999999999</v>
      </c>
      <c r="N22" s="84">
        <f t="shared" si="2"/>
        <v>11.445</v>
      </c>
      <c r="O22" s="28"/>
      <c r="P22" s="141"/>
      <c r="Q22" s="20"/>
      <c r="R22" s="142"/>
      <c r="S22" s="142"/>
      <c r="T22" s="142"/>
      <c r="U22" s="142"/>
      <c r="V22" s="143"/>
      <c r="W22" s="143"/>
      <c r="X22" s="143"/>
      <c r="Y22" s="143"/>
      <c r="Z22" s="143"/>
      <c r="AA22" s="143"/>
      <c r="AB22" s="143"/>
    </row>
    <row r="23" spans="2:28">
      <c r="B23" s="37" t="s">
        <v>73</v>
      </c>
      <c r="C23" s="172" t="s">
        <v>22</v>
      </c>
      <c r="D23" s="44">
        <f t="shared" ref="D23:I23" si="3">D22*0.15</f>
        <v>2.2879499999999995</v>
      </c>
      <c r="E23" s="50">
        <f t="shared" si="3"/>
        <v>2.2825499999999996</v>
      </c>
      <c r="F23" s="50">
        <f t="shared" si="3"/>
        <v>2.2150499999999997</v>
      </c>
      <c r="G23" s="50">
        <f t="shared" si="3"/>
        <v>2.0530499999999998</v>
      </c>
      <c r="H23" s="50">
        <f t="shared" si="3"/>
        <v>1.8343499999999997</v>
      </c>
      <c r="I23" s="56">
        <f t="shared" si="3"/>
        <v>1.7668499999999996</v>
      </c>
      <c r="J23" s="85">
        <f>J22*0.15</f>
        <v>1.7533499999999997</v>
      </c>
      <c r="K23" s="85">
        <f t="shared" ref="K23:N23" si="4">K22*0.15</f>
        <v>1.7465999999999997</v>
      </c>
      <c r="L23" s="85">
        <f t="shared" si="4"/>
        <v>1.72455</v>
      </c>
      <c r="M23" s="85">
        <f t="shared" si="4"/>
        <v>1.7219999999999998</v>
      </c>
      <c r="N23" s="85">
        <f t="shared" si="4"/>
        <v>1.71675</v>
      </c>
      <c r="O23" s="28"/>
      <c r="P23" s="141"/>
      <c r="Q23" s="20"/>
      <c r="R23" s="142"/>
      <c r="S23" s="142"/>
      <c r="T23" s="142"/>
      <c r="U23" s="142"/>
      <c r="V23" s="143"/>
      <c r="W23" s="143"/>
      <c r="X23" s="143"/>
      <c r="Y23" s="143"/>
      <c r="Z23" s="143"/>
      <c r="AA23" s="143"/>
      <c r="AB23" s="143"/>
    </row>
    <row r="24" spans="2:28">
      <c r="B24" s="33" t="s">
        <v>74</v>
      </c>
      <c r="C24" s="172" t="s">
        <v>22</v>
      </c>
      <c r="D24" s="44">
        <f>D22+D23</f>
        <v>17.540949999999999</v>
      </c>
      <c r="E24" s="50">
        <f>E22+E23</f>
        <v>17.499549999999999</v>
      </c>
      <c r="F24" s="50">
        <f>F22+F23</f>
        <v>16.982050000000001</v>
      </c>
      <c r="G24" s="50">
        <f>G22+G23</f>
        <v>15.74005</v>
      </c>
      <c r="H24" s="50">
        <f>H22+H23</f>
        <v>14.06335</v>
      </c>
      <c r="I24" s="56">
        <f t="shared" ref="I24:N24" si="5">I22+I23</f>
        <v>13.545849999999998</v>
      </c>
      <c r="J24" s="85">
        <f>J22+J23</f>
        <v>13.442349999999998</v>
      </c>
      <c r="K24" s="85">
        <f t="shared" si="5"/>
        <v>13.390599999999997</v>
      </c>
      <c r="L24" s="85">
        <f t="shared" si="5"/>
        <v>13.221550000000001</v>
      </c>
      <c r="M24" s="85">
        <f t="shared" si="5"/>
        <v>13.201999999999998</v>
      </c>
      <c r="N24" s="85">
        <f t="shared" si="5"/>
        <v>13.16175</v>
      </c>
      <c r="O24" s="28"/>
      <c r="P24" s="141"/>
      <c r="Q24" s="20"/>
      <c r="R24" s="142"/>
      <c r="S24" s="142"/>
      <c r="T24" s="142"/>
      <c r="U24" s="142"/>
      <c r="V24" s="143"/>
      <c r="W24" s="143"/>
      <c r="X24" s="143"/>
      <c r="Y24" s="143"/>
      <c r="Z24" s="143"/>
      <c r="AA24" s="143"/>
      <c r="AB24" s="143"/>
    </row>
    <row r="25" spans="2:28">
      <c r="B25" s="33" t="s">
        <v>75</v>
      </c>
      <c r="C25" s="172" t="s">
        <v>22</v>
      </c>
      <c r="D25" s="44">
        <f>D24+D14</f>
        <v>18.806651499999997</v>
      </c>
      <c r="E25" s="50">
        <f>E24+E14</f>
        <v>18.765251499999998</v>
      </c>
      <c r="F25" s="50">
        <f>F24+F14</f>
        <v>18.2477515</v>
      </c>
      <c r="G25" s="50">
        <f>G24+G14</f>
        <v>17.005751499999999</v>
      </c>
      <c r="H25" s="50">
        <f>H24+H14</f>
        <v>15.3290515</v>
      </c>
      <c r="I25" s="56">
        <f t="shared" ref="I25:N25" si="6">I24+I14</f>
        <v>14.764976499999998</v>
      </c>
      <c r="J25" s="85">
        <f t="shared" si="6"/>
        <v>14.652161499999998</v>
      </c>
      <c r="K25" s="85">
        <f t="shared" si="6"/>
        <v>14.595753999999998</v>
      </c>
      <c r="L25" s="85">
        <f t="shared" si="6"/>
        <v>14.4114895</v>
      </c>
      <c r="M25" s="85">
        <f t="shared" si="6"/>
        <v>14.390179999999997</v>
      </c>
      <c r="N25" s="85">
        <f t="shared" si="6"/>
        <v>14.3463075</v>
      </c>
      <c r="O25" s="28"/>
      <c r="P25" s="141"/>
      <c r="Q25" s="147"/>
      <c r="R25" s="142"/>
      <c r="S25" s="142"/>
      <c r="T25" s="142"/>
      <c r="U25" s="142"/>
      <c r="V25" s="143"/>
      <c r="W25" s="143"/>
      <c r="X25" s="143"/>
      <c r="Y25" s="143"/>
      <c r="Z25" s="143"/>
      <c r="AA25" s="143"/>
      <c r="AB25" s="143"/>
    </row>
    <row r="26" spans="2:28">
      <c r="B26" s="34" t="s">
        <v>74</v>
      </c>
      <c r="C26" s="173" t="s">
        <v>76</v>
      </c>
      <c r="D26" s="186">
        <f>(D25/1000)*D10</f>
        <v>3.9493968149999996E-2</v>
      </c>
      <c r="E26" s="161">
        <f>(E25/1000)*E10</f>
        <v>3.9407028149999995E-2</v>
      </c>
      <c r="F26" s="161">
        <f>(F25/1000)*F10</f>
        <v>3.8320278149999998E-2</v>
      </c>
      <c r="G26" s="161">
        <f>(G25/1000)*G10</f>
        <v>3.571207815E-2</v>
      </c>
      <c r="H26" s="161">
        <f>(H25/1000)*H10</f>
        <v>3.2191008149999999E-2</v>
      </c>
      <c r="I26" s="161" cm="1">
        <f t="array" ref="I26">IF(Inputs!$C$8="Domestic",
   (I25/1000)*I10,
   IF(AND(Inputs!$C$8="China", OR(Inputs!$C$3="Vietnam", Inputs!$C$3="India", Inputs!$C$3="Australia", Inputs!$C$3="Germany")),
      INDEX(Country_Index!$D56:$I59, MATCH(Inputs!$C$3, Country_Index!$C56:$C59, 0), COLUMNS($I26:I26)),
   IF(AND(Inputs!$C$8="Vietnam", Inputs!$C$3="US"),
      INDEX(Country_Index!$D56:$I60, MATCH(Inputs!$C$3, Country_Index!$C56:$C60, 0), COLUMNS($I26:I26)),
   NA())))</f>
        <v>3.1006450649999996E-2</v>
      </c>
      <c r="J26" s="162" cm="1">
        <f t="array" ref="J26">IF(Inputs!$C$8="Domestic",
   (J25/1000)*J10,
   IF(AND(Inputs!$C$8="China", OR(Inputs!$C$3="Vietnam", Inputs!$C$3="India", Inputs!$C$3="Australia", Inputs!$C$3="Germany")),
      INDEX(Country_Index!$D56:$I59, MATCH(Inputs!$C$3, Country_Index!$C56:$C59, 0), COLUMNS($I26:J26)),
   IF(AND(Inputs!$C$8="Vietnam", Inputs!$C$3="US"),
      INDEX(Country_Index!$D56:$I60, MATCH(Inputs!$C$3, Country_Index!$C56:$C60, 0), COLUMNS($I26:J26)),
   NA())))</f>
        <v>2.9304322999999997E-2</v>
      </c>
      <c r="K26" s="162" cm="1">
        <f t="array" ref="K26">IF(Inputs!$C$8="Domestic",
   (K25/1000)*K10,
   IF(AND(Inputs!$C$8="China", OR(Inputs!$C$3="Vietnam", Inputs!$C$3="India", Inputs!$C$3="Australia", Inputs!$C$3="Germany")),
      INDEX(Country_Index!$D56:$I59, MATCH(Inputs!$C$3, Country_Index!$C56:$C59, 0), COLUMNS($I26:K26)),
   IF(AND(Inputs!$C$8="Vietnam", Inputs!$C$3="US"),
      INDEX(Country_Index!$D56:$I60, MATCH(Inputs!$C$3, Country_Index!$C56:$C60, 0), COLUMNS($I26:K26)),
   NA())))</f>
        <v>2.9191507999999994E-2</v>
      </c>
      <c r="L26" s="162" cm="1">
        <f t="array" ref="L26">IF(Inputs!$C$8="Domestic",
   (L25/1000)*L10,
   IF(AND(Inputs!$C$8="China", OR(Inputs!$C$3="Vietnam", Inputs!$C$3="India", Inputs!$C$3="Australia", Inputs!$C$3="Germany")),
      INDEX(Country_Index!$D56:$I59, MATCH(Inputs!$C$3, Country_Index!$C56:$C59, 0), COLUMNS($I26:L26)),
   IF(AND(Inputs!$C$8="Vietnam", Inputs!$C$3="US"),
      INDEX(Country_Index!$D56:$I60, MATCH(Inputs!$C$3, Country_Index!$C56:$C60, 0), COLUMNS($I26:L26)),
   NA())))</f>
        <v>2.8102404524999999E-2</v>
      </c>
      <c r="M26" s="162" cm="1">
        <f t="array" ref="M26">IF(Inputs!$C$8="Domestic",
   (M25/1000)*M10,
   IF(AND(Inputs!$C$8="China", OR(Inputs!$C$3="Vietnam", Inputs!$C$3="India", Inputs!$C$3="Australia", Inputs!$C$3="Germany")),
      INDEX(Country_Index!$D56:$I59, MATCH(Inputs!$C$3, Country_Index!$C56:$C59, 0), COLUMNS($I26:M26)),
   IF(AND(Inputs!$C$8="Vietnam", Inputs!$C$3="US"),
      INDEX(Country_Index!$D56:$I60, MATCH(Inputs!$C$3, Country_Index!$C56:$C60, 0), COLUMNS($I26:M26)),
   NA())))</f>
        <v>2.7341341999999994E-2</v>
      </c>
      <c r="N26" s="162" cm="1">
        <f t="array" ref="N26">IF(Inputs!$C$8="Domestic",
   (N25/1000)*N10,
   IF(AND(Inputs!$C$8="China", OR(Inputs!$C$3="Vietnam", Inputs!$C$3="India", Inputs!$C$3="Australia", Inputs!$C$3="Germany")),
      INDEX(Country_Index!$D56:$I59, MATCH(Inputs!$C$3, Country_Index!$C56:$C59, 0), COLUMNS($I26:N26)),
   IF(AND(Inputs!$C$8="Vietnam", Inputs!$C$3="US"),
      INDEX(Country_Index!$D56:$I60, MATCH(Inputs!$C$3, Country_Index!$C56:$C60, 0), COLUMNS($I26:N26)),
   NA())))</f>
        <v>2.7114521175E-2</v>
      </c>
      <c r="O26" s="28"/>
      <c r="P26" s="141"/>
      <c r="Q26" s="20"/>
      <c r="R26" s="142"/>
      <c r="S26" s="142"/>
      <c r="T26" s="142"/>
      <c r="U26" s="142"/>
      <c r="V26" s="143"/>
      <c r="W26" s="143"/>
      <c r="X26" s="143"/>
      <c r="Y26" s="143"/>
      <c r="Z26" s="143"/>
      <c r="AA26" s="143"/>
      <c r="AB26" s="143"/>
    </row>
    <row r="27" spans="2:28">
      <c r="C27" s="3"/>
      <c r="D27" s="3"/>
      <c r="E27" s="3"/>
      <c r="F27" s="3"/>
      <c r="G27" s="3"/>
      <c r="H27" s="3"/>
      <c r="I27" s="3"/>
      <c r="J27" s="3"/>
      <c r="K27" s="3"/>
      <c r="L27" s="3"/>
      <c r="M27" s="3"/>
      <c r="N27" s="3"/>
      <c r="O27" s="28"/>
      <c r="Q27" s="1" t="s">
        <v>77</v>
      </c>
    </row>
    <row r="28" spans="2:28">
      <c r="B28" s="5" t="s">
        <v>78</v>
      </c>
      <c r="C28" s="3"/>
      <c r="D28" s="6">
        <v>2020</v>
      </c>
      <c r="E28" s="6">
        <v>2021</v>
      </c>
      <c r="F28" s="6">
        <v>2022</v>
      </c>
      <c r="G28" s="6">
        <v>2023</v>
      </c>
      <c r="H28" s="6">
        <v>2024</v>
      </c>
      <c r="I28" s="6">
        <v>2025</v>
      </c>
      <c r="J28" s="7">
        <v>2026</v>
      </c>
      <c r="K28" s="7">
        <v>2027</v>
      </c>
      <c r="L28" s="7">
        <v>2028</v>
      </c>
      <c r="M28" s="7">
        <v>2029</v>
      </c>
      <c r="N28" s="7">
        <v>2030</v>
      </c>
      <c r="O28" s="144"/>
    </row>
    <row r="29" spans="2:28">
      <c r="B29" s="17" t="s">
        <v>55</v>
      </c>
      <c r="C29" s="18" t="s">
        <v>79</v>
      </c>
      <c r="D29" s="42">
        <v>0.9</v>
      </c>
      <c r="E29" s="42">
        <v>0.9</v>
      </c>
      <c r="F29" s="42">
        <v>0.9</v>
      </c>
      <c r="G29" s="42">
        <v>0.9</v>
      </c>
      <c r="H29" s="42">
        <v>0.9</v>
      </c>
      <c r="I29" s="42">
        <v>0.9</v>
      </c>
      <c r="J29" s="62">
        <v>0.89</v>
      </c>
      <c r="K29" s="62">
        <v>0.88</v>
      </c>
      <c r="L29" s="62">
        <v>0.87</v>
      </c>
      <c r="M29" s="62">
        <v>0.86</v>
      </c>
      <c r="N29" s="62">
        <v>0.85</v>
      </c>
      <c r="O29" s="144"/>
    </row>
    <row r="30" spans="2:28">
      <c r="B30" s="17" t="s">
        <v>63</v>
      </c>
      <c r="C30" s="18" t="s">
        <v>80</v>
      </c>
      <c r="D30" s="42">
        <f>Assumptions!$D$25</f>
        <v>7.6999999999999999E-2</v>
      </c>
      <c r="E30" s="42">
        <f>Assumptions!$D$25</f>
        <v>7.6999999999999999E-2</v>
      </c>
      <c r="F30" s="42">
        <f>Assumptions!$D$25</f>
        <v>7.6999999999999999E-2</v>
      </c>
      <c r="G30" s="42">
        <f>Assumptions!$D$25</f>
        <v>7.6999999999999999E-2</v>
      </c>
      <c r="H30" s="42">
        <f>Assumptions!$D$25</f>
        <v>7.6999999999999999E-2</v>
      </c>
      <c r="I30" s="42">
        <f>Assumptions!$D$25</f>
        <v>7.6999999999999999E-2</v>
      </c>
      <c r="J30" s="59">
        <f>Assumptions!$D$25</f>
        <v>7.6999999999999999E-2</v>
      </c>
      <c r="K30" s="59">
        <f>Assumptions!$D$25</f>
        <v>7.6999999999999999E-2</v>
      </c>
      <c r="L30" s="59">
        <f>Assumptions!$D$25</f>
        <v>7.6999999999999999E-2</v>
      </c>
      <c r="M30" s="59">
        <f>Assumptions!$D$25</f>
        <v>7.6999999999999999E-2</v>
      </c>
      <c r="N30" s="59">
        <f>Assumptions!$D$25</f>
        <v>7.6999999999999999E-2</v>
      </c>
      <c r="O30" s="145"/>
    </row>
    <row r="31" spans="2:28">
      <c r="B31" s="17" t="s">
        <v>58</v>
      </c>
      <c r="C31" s="18" t="s">
        <v>27</v>
      </c>
      <c r="D31" s="42">
        <f>Inputs!$F$23</f>
        <v>4000000000</v>
      </c>
      <c r="E31" s="42">
        <f>Inputs!$F$23</f>
        <v>4000000000</v>
      </c>
      <c r="F31" s="42">
        <f>Inputs!$F$23</f>
        <v>4000000000</v>
      </c>
      <c r="G31" s="42">
        <f>Inputs!$F$23</f>
        <v>4000000000</v>
      </c>
      <c r="H31" s="42">
        <f>Inputs!$F$23</f>
        <v>4000000000</v>
      </c>
      <c r="I31" s="42">
        <f>Inputs!$F$23</f>
        <v>4000000000</v>
      </c>
      <c r="J31" s="62">
        <f>Inputs!$F$23</f>
        <v>4000000000</v>
      </c>
      <c r="K31" s="62">
        <f>Inputs!$F$23</f>
        <v>4000000000</v>
      </c>
      <c r="L31" s="62">
        <f>Inputs!$F$24</f>
        <v>6000000000</v>
      </c>
      <c r="M31" s="62">
        <f>Inputs!$F$24</f>
        <v>6000000000</v>
      </c>
      <c r="N31" s="62">
        <f>Inputs!$F$24</f>
        <v>6000000000</v>
      </c>
      <c r="O31" s="145"/>
    </row>
    <row r="32" spans="2:28">
      <c r="B32" s="60" t="s">
        <v>81</v>
      </c>
      <c r="C32" s="61" t="s">
        <v>82</v>
      </c>
      <c r="D32" s="43">
        <f>Assumptions!$D$19</f>
        <v>3.8219999999999997E-2</v>
      </c>
      <c r="E32" s="43">
        <f>Assumptions!$D$19</f>
        <v>3.8219999999999997E-2</v>
      </c>
      <c r="F32" s="43">
        <f>Assumptions!$D$19</f>
        <v>3.8219999999999997E-2</v>
      </c>
      <c r="G32" s="43">
        <f>Assumptions!$D$19</f>
        <v>3.8219999999999997E-2</v>
      </c>
      <c r="H32" s="43">
        <f>Assumptions!$D$19</f>
        <v>3.8219999999999997E-2</v>
      </c>
      <c r="I32" s="43">
        <f>Assumptions!$D$19</f>
        <v>3.8219999999999997E-2</v>
      </c>
      <c r="J32" s="62">
        <f>Assumptions!$D$19</f>
        <v>3.8219999999999997E-2</v>
      </c>
      <c r="K32" s="62">
        <f>Assumptions!$D$19</f>
        <v>3.8219999999999997E-2</v>
      </c>
      <c r="L32" s="62">
        <f>Assumptions!$D$19</f>
        <v>3.8219999999999997E-2</v>
      </c>
      <c r="M32" s="62">
        <f>Assumptions!$D$19</f>
        <v>3.8219999999999997E-2</v>
      </c>
      <c r="N32" s="62">
        <f>Assumptions!$D$19</f>
        <v>3.8219999999999997E-2</v>
      </c>
      <c r="O32" s="145"/>
    </row>
    <row r="33" spans="2:28">
      <c r="B33" s="60" t="s">
        <v>83</v>
      </c>
      <c r="C33" s="61" t="s">
        <v>60</v>
      </c>
      <c r="D33" s="42">
        <v>0.24199999999999999</v>
      </c>
      <c r="E33" s="42">
        <v>0.24399999999999999</v>
      </c>
      <c r="F33" s="42">
        <v>0.246</v>
      </c>
      <c r="G33" s="42">
        <v>0.248</v>
      </c>
      <c r="H33" s="42">
        <v>0.25</v>
      </c>
      <c r="I33" s="42">
        <v>0.253</v>
      </c>
      <c r="J33" s="59">
        <v>0.255</v>
      </c>
      <c r="K33" s="59">
        <v>0.25700000000000001</v>
      </c>
      <c r="L33" s="59">
        <v>0.25800000000000001</v>
      </c>
      <c r="M33" s="59">
        <v>0.26</v>
      </c>
      <c r="N33" s="59">
        <v>0.26</v>
      </c>
      <c r="O33" s="145"/>
    </row>
    <row r="34" spans="2:28">
      <c r="B34" s="60" t="s">
        <v>84</v>
      </c>
      <c r="C34" s="61" t="s">
        <v>85</v>
      </c>
      <c r="D34" s="42">
        <f>Assumptions!$D$28</f>
        <v>1000</v>
      </c>
      <c r="E34" s="42">
        <f>Assumptions!$D$28</f>
        <v>1000</v>
      </c>
      <c r="F34" s="42">
        <f>Assumptions!$D$28</f>
        <v>1000</v>
      </c>
      <c r="G34" s="42">
        <f>Assumptions!$D$28</f>
        <v>1000</v>
      </c>
      <c r="H34" s="42">
        <f>Assumptions!$D$28</f>
        <v>1000</v>
      </c>
      <c r="I34" s="42">
        <f>Assumptions!$D$28</f>
        <v>1000</v>
      </c>
      <c r="J34" s="59">
        <f>Assumptions!$D$28</f>
        <v>1000</v>
      </c>
      <c r="K34" s="59">
        <f>Assumptions!$D$28</f>
        <v>1000</v>
      </c>
      <c r="L34" s="59">
        <f>Assumptions!$D$28</f>
        <v>1000</v>
      </c>
      <c r="M34" s="59">
        <f>Assumptions!$D$28</f>
        <v>1000</v>
      </c>
      <c r="N34" s="59">
        <f>Assumptions!$D$28</f>
        <v>1000</v>
      </c>
      <c r="O34" s="145"/>
    </row>
    <row r="35" spans="2:28">
      <c r="B35" s="60" t="s">
        <v>86</v>
      </c>
      <c r="C35" s="61" t="s">
        <v>27</v>
      </c>
      <c r="D35" s="44">
        <f>D32*D33*D34</f>
        <v>9.2492399999999986</v>
      </c>
      <c r="E35" s="44">
        <f t="shared" ref="E35:H35" si="7">E32*E33*E34</f>
        <v>9.3256800000000002</v>
      </c>
      <c r="F35" s="44">
        <f t="shared" si="7"/>
        <v>9.40212</v>
      </c>
      <c r="G35" s="44">
        <f t="shared" si="7"/>
        <v>9.4785599999999981</v>
      </c>
      <c r="H35" s="44">
        <f t="shared" si="7"/>
        <v>9.5549999999999997</v>
      </c>
      <c r="I35" s="44">
        <f t="shared" ref="I35:N35" si="8">I32*I33*I34</f>
        <v>9.6696600000000004</v>
      </c>
      <c r="J35" s="85">
        <f t="shared" si="8"/>
        <v>9.7460999999999984</v>
      </c>
      <c r="K35" s="85">
        <f t="shared" si="8"/>
        <v>9.82254</v>
      </c>
      <c r="L35" s="85">
        <f t="shared" si="8"/>
        <v>9.8607599999999991</v>
      </c>
      <c r="M35" s="85">
        <f t="shared" si="8"/>
        <v>9.9372000000000007</v>
      </c>
      <c r="N35" s="85">
        <f t="shared" si="8"/>
        <v>9.9372000000000007</v>
      </c>
      <c r="O35" s="145"/>
    </row>
    <row r="36" spans="2:28">
      <c r="O36" s="145"/>
    </row>
    <row r="37" spans="2:28">
      <c r="B37" s="5" t="s">
        <v>78</v>
      </c>
      <c r="C37" s="3"/>
      <c r="D37" s="6">
        <v>2020</v>
      </c>
      <c r="E37" s="6">
        <v>2021</v>
      </c>
      <c r="F37" s="6">
        <v>2022</v>
      </c>
      <c r="G37" s="6">
        <v>2023</v>
      </c>
      <c r="H37" s="6">
        <v>2024</v>
      </c>
      <c r="I37" s="6">
        <v>2025</v>
      </c>
      <c r="J37" s="7">
        <v>2026</v>
      </c>
      <c r="K37" s="7">
        <v>2027</v>
      </c>
      <c r="L37" s="7">
        <v>2028</v>
      </c>
      <c r="M37" s="7">
        <v>2029</v>
      </c>
      <c r="N37" s="7">
        <v>2030</v>
      </c>
      <c r="O37" s="28"/>
    </row>
    <row r="38" spans="2:28">
      <c r="B38" s="17" t="s">
        <v>65</v>
      </c>
      <c r="C38" s="18" t="s">
        <v>76</v>
      </c>
      <c r="D38" s="50">
        <f>(((D31*0.9)*'Cost Model_Calculations'!$H$47)/'Cost Model_Calculations'!D31)*Assumptions!$D$26</f>
        <v>4.5663596114599702E-3</v>
      </c>
      <c r="E38" s="50">
        <f>(((E31*0.9)*'Cost Model_Calculations'!$H$47)/'Cost Model_Calculations'!E31)*Assumptions!$D$26</f>
        <v>4.5663596114599702E-3</v>
      </c>
      <c r="F38" s="50">
        <f>(((F31*0.9)*'Cost Model_Calculations'!$H$47)/'Cost Model_Calculations'!F31)*Assumptions!$D$26</f>
        <v>4.5663596114599702E-3</v>
      </c>
      <c r="G38" s="50">
        <f>(((G31*0.9)*'Cost Model_Calculations'!$H$47)/'Cost Model_Calculations'!G31)*Assumptions!$D$26</f>
        <v>4.5663596114599702E-3</v>
      </c>
      <c r="H38" s="50">
        <f>(((H31*0.9)*'Cost Model_Calculations'!H47)/'Cost Model_Calculations'!H31)*Assumptions!$D$26</f>
        <v>4.5663596114599702E-3</v>
      </c>
      <c r="I38" s="50">
        <f>(((I31*0.9)*'Cost Model_Calculations'!I47)/'Cost Model_Calculations'!I31)*Assumptions!$D$26</f>
        <v>4.5460656197374057E-3</v>
      </c>
      <c r="J38" s="73">
        <f>(((J31*0.9)*'Cost Model_Calculations'!J47)/'Cost Model_Calculations'!J31)*Assumptions!$D$26</f>
        <v>4.5232439036383791E-3</v>
      </c>
      <c r="K38" s="73">
        <f>(((K31*0.9)*'Cost Model_Calculations'!K47)/'Cost Model_Calculations'!K31)*Assumptions!$D$26</f>
        <v>4.50077738934634E-3</v>
      </c>
      <c r="L38" s="73">
        <f>(((L31*0.9)*'Cost Model_Calculations'!L47)/'Cost Model_Calculations'!L31)*Assumptions!$D$26</f>
        <v>4.4849514847030043E-3</v>
      </c>
      <c r="M38" s="73">
        <f>(((M31*0.9)*'Cost Model_Calculations'!M47)/'Cost Model_Calculations'!M31)*Assumptions!$D$26</f>
        <v>4.4630387564907623E-3</v>
      </c>
      <c r="N38" s="73">
        <f>(((N31*0.9)*'Cost Model_Calculations'!N47)/'Cost Model_Calculations'!N31)*Assumptions!$D$26</f>
        <v>4.4536648886004107E-3</v>
      </c>
      <c r="O38" s="28"/>
    </row>
    <row r="39" spans="2:28">
      <c r="B39" s="17" t="s">
        <v>66</v>
      </c>
      <c r="C39" s="18" t="s">
        <v>76</v>
      </c>
      <c r="D39" s="43">
        <f>(D29/'Cost Model_Calculations'!D35)*Inputs!$F$28</f>
        <v>8.7574762899438226E-3</v>
      </c>
      <c r="E39" s="43">
        <f>(E29/'Cost Model_Calculations'!E35)*Inputs!$F$28</f>
        <v>8.6856936974032978E-3</v>
      </c>
      <c r="F39" s="43">
        <f>(F29/'Cost Model_Calculations'!F35)*Inputs!$F$28</f>
        <v>8.6150783014894514E-3</v>
      </c>
      <c r="G39" s="43">
        <f>(G29/'Cost Model_Calculations'!G35)*Inputs!$F$28</f>
        <v>8.5456018635742155E-3</v>
      </c>
      <c r="H39" s="43">
        <f>(H29/'Cost Model_Calculations'!H35)*Inputs!$F$28</f>
        <v>8.4772370486656205E-3</v>
      </c>
      <c r="I39" s="43">
        <f>(I29/'Cost Model_Calculations'!I35)*Inputs!$F$28</f>
        <v>8.3767164512506126E-3</v>
      </c>
      <c r="J39" s="74">
        <f>(J29/'Cost Model_Calculations'!J35)*Inputs!$F$28</f>
        <v>8.218672084218304E-3</v>
      </c>
      <c r="K39" s="74">
        <f>(K29/'Cost Model_Calculations'!K35)*Inputs!$F$28</f>
        <v>8.0630875516923307E-3</v>
      </c>
      <c r="L39" s="74">
        <f>(L29/'Cost Model_Calculations'!L35)*Inputs!$F$28</f>
        <v>7.9405644189697346E-3</v>
      </c>
      <c r="M39" s="74">
        <f>(M29/'Cost Model_Calculations'!M35)*Inputs!$F$28</f>
        <v>7.7889143823209753E-3</v>
      </c>
      <c r="N39" s="74">
        <f>(N29/'Cost Model_Calculations'!N35)*Inputs!$F$28</f>
        <v>7.698345610433522E-3</v>
      </c>
      <c r="O39" s="28"/>
      <c r="R39" s="1"/>
      <c r="S39" s="1"/>
      <c r="T39" s="1"/>
      <c r="U39" s="1"/>
      <c r="V39" s="1"/>
      <c r="W39" s="1"/>
      <c r="X39" s="1"/>
      <c r="Y39" s="1"/>
      <c r="Z39" s="1"/>
      <c r="AA39" s="1"/>
      <c r="AB39" s="1"/>
    </row>
    <row r="40" spans="2:28">
      <c r="B40" s="17" t="s">
        <v>67</v>
      </c>
      <c r="C40" s="18" t="s">
        <v>76</v>
      </c>
      <c r="D40" s="43">
        <f>(Inputs!$F$30/Assumptions!$D$22)/1000</f>
        <v>2.7499999999999998E-3</v>
      </c>
      <c r="E40" s="43">
        <f>(Inputs!$F$30/Assumptions!$D$22)/1000</f>
        <v>2.7499999999999998E-3</v>
      </c>
      <c r="F40" s="43">
        <f>(Inputs!$F$30/Assumptions!$D$22)/1000</f>
        <v>2.7499999999999998E-3</v>
      </c>
      <c r="G40" s="43">
        <f>(Inputs!$F$30/Assumptions!$D$22)/1000</f>
        <v>2.7499999999999998E-3</v>
      </c>
      <c r="H40" s="43">
        <f>(Inputs!$F$30/Assumptions!$D$22)/1000</f>
        <v>2.7499999999999998E-3</v>
      </c>
      <c r="I40" s="43">
        <f>(Inputs!$F$30/Assumptions!$D$22)/1000</f>
        <v>2.7499999999999998E-3</v>
      </c>
      <c r="J40" s="74">
        <f>(Inputs!$F$30/Assumptions!$D$22)/1000</f>
        <v>2.7499999999999998E-3</v>
      </c>
      <c r="K40" s="74">
        <f>(Inputs!$F$30/Assumptions!$D$22)/1000</f>
        <v>2.7499999999999998E-3</v>
      </c>
      <c r="L40" s="74">
        <f>(Inputs!$F$30/Assumptions!$D$22)/1000</f>
        <v>2.7499999999999998E-3</v>
      </c>
      <c r="M40" s="74">
        <f>(Inputs!$F$30/Assumptions!$D$22)/1000</f>
        <v>2.7499999999999998E-3</v>
      </c>
      <c r="N40" s="74">
        <f>(Inputs!$F$30/Assumptions!$D$22)/1000</f>
        <v>2.7499999999999998E-3</v>
      </c>
      <c r="O40" s="28"/>
      <c r="R40" s="1"/>
      <c r="S40" s="1"/>
      <c r="T40" s="1"/>
      <c r="U40" s="1"/>
      <c r="V40" s="1"/>
      <c r="W40" s="1"/>
      <c r="X40" s="1"/>
      <c r="Y40" s="1"/>
      <c r="Z40" s="1"/>
      <c r="AA40" s="1"/>
      <c r="AB40" s="1"/>
    </row>
    <row r="41" spans="2:28">
      <c r="B41" s="17" t="s">
        <v>68</v>
      </c>
      <c r="C41" s="18" t="s">
        <v>76</v>
      </c>
      <c r="D41" s="43">
        <f>(Inputs!$F$25/Assumptions!$D$21)/1000</f>
        <v>6.4285714285714285E-3</v>
      </c>
      <c r="E41" s="43">
        <f>(Inputs!$F$25/Assumptions!$D$21)/1000</f>
        <v>6.4285714285714285E-3</v>
      </c>
      <c r="F41" s="43">
        <f>(Inputs!$F$25/Assumptions!$D$21)/1000</f>
        <v>6.4285714285714285E-3</v>
      </c>
      <c r="G41" s="43">
        <f>(Inputs!$F$25/Assumptions!$D$21)/1000</f>
        <v>6.4285714285714285E-3</v>
      </c>
      <c r="H41" s="43">
        <f>(Inputs!$F$25/Assumptions!$D$21)/1000</f>
        <v>6.4285714285714285E-3</v>
      </c>
      <c r="I41" s="43">
        <f>(Inputs!$F$25/Assumptions!$D$21)/1000</f>
        <v>6.4285714285714285E-3</v>
      </c>
      <c r="J41" s="74">
        <f>(Inputs!$F$25/Assumptions!$D$21)/1000</f>
        <v>6.4285714285714285E-3</v>
      </c>
      <c r="K41" s="74">
        <f>(Inputs!$F$25/Assumptions!$D$21)/1000</f>
        <v>6.4285714285714285E-3</v>
      </c>
      <c r="L41" s="74">
        <f>(Inputs!$F$25/Assumptions!$D$21)/1000</f>
        <v>6.4285714285714285E-3</v>
      </c>
      <c r="M41" s="74">
        <f>(Inputs!$F$25/Assumptions!$D$21)/1000</f>
        <v>6.4285714285714285E-3</v>
      </c>
      <c r="N41" s="74">
        <f>(Inputs!$F$25/Assumptions!$D$21)/1000</f>
        <v>6.4285714285714285E-3</v>
      </c>
      <c r="O41" s="28"/>
    </row>
    <row r="42" spans="2:28">
      <c r="B42" s="17" t="s">
        <v>69</v>
      </c>
      <c r="C42" s="18" t="s">
        <v>76</v>
      </c>
      <c r="D42" s="44">
        <f>Assumptions!$D$23/100*(Inputs!$F$25+Inputs!$F$30)/1000</f>
        <v>4.0000000000000001E-3</v>
      </c>
      <c r="E42" s="44">
        <f>Assumptions!$D$23/100*(Inputs!$F$25+Inputs!$F$30)/1000</f>
        <v>4.0000000000000001E-3</v>
      </c>
      <c r="F42" s="44">
        <f>Assumptions!$D$23/100*(Inputs!$F$25+Inputs!$F$30)/1000</f>
        <v>4.0000000000000001E-3</v>
      </c>
      <c r="G42" s="44">
        <f>Assumptions!$D$23/100*(Inputs!$F$25+Inputs!$F$30)/1000</f>
        <v>4.0000000000000001E-3</v>
      </c>
      <c r="H42" s="44">
        <f>Assumptions!$D$23/100*(Inputs!$F$25+Inputs!$F$30)/1000</f>
        <v>4.0000000000000001E-3</v>
      </c>
      <c r="I42" s="44">
        <f>Assumptions!$D$23/100*(Inputs!$F$25+Inputs!$F$30)/1000</f>
        <v>4.0000000000000001E-3</v>
      </c>
      <c r="J42" s="75">
        <f>Assumptions!$D$23/100*(Inputs!$F$25+Inputs!$F$30)/1000</f>
        <v>4.0000000000000001E-3</v>
      </c>
      <c r="K42" s="75">
        <f>Assumptions!$D$23/100*(Inputs!$F$25+Inputs!$F$30)/1000</f>
        <v>4.0000000000000001E-3</v>
      </c>
      <c r="L42" s="75">
        <f>Assumptions!$D$23/100*(Inputs!$F$25+Inputs!$F$30)/1000</f>
        <v>4.0000000000000001E-3</v>
      </c>
      <c r="M42" s="75">
        <f>Assumptions!$D$23/100*(Inputs!$F$25+Inputs!$F$30)/1000</f>
        <v>4.0000000000000001E-3</v>
      </c>
      <c r="N42" s="75">
        <f>Assumptions!$D$23/100*(Inputs!$F$25+Inputs!$F$30)/1000</f>
        <v>4.0000000000000001E-3</v>
      </c>
      <c r="O42" s="28"/>
    </row>
    <row r="43" spans="2:28">
      <c r="B43" s="17" t="s">
        <v>70</v>
      </c>
      <c r="C43" s="181" t="s">
        <v>76</v>
      </c>
      <c r="D43" s="112">
        <f>Inputs!$F$29*Assumptions!$D$27</f>
        <v>1.4405000000000001E-2</v>
      </c>
      <c r="E43" s="112">
        <f>Inputs!$F$29*Assumptions!$D$27</f>
        <v>1.4405000000000001E-2</v>
      </c>
      <c r="F43" s="112">
        <f>Inputs!$F$29*Assumptions!$D$27</f>
        <v>1.4405000000000001E-2</v>
      </c>
      <c r="G43" s="112">
        <f>Inputs!$F$29*Assumptions!$D$27</f>
        <v>1.4405000000000001E-2</v>
      </c>
      <c r="H43" s="43">
        <f>Inputs!$F$29*Assumptions!$D$27</f>
        <v>1.4405000000000001E-2</v>
      </c>
      <c r="I43" s="43">
        <f>Inputs!$F$29*Assumptions!$D$27</f>
        <v>1.4405000000000001E-2</v>
      </c>
      <c r="J43" s="74">
        <f>Inputs!$F$29*Assumptions!$D$27</f>
        <v>1.4405000000000001E-2</v>
      </c>
      <c r="K43" s="74">
        <f>Inputs!$F$29*Assumptions!$D$27</f>
        <v>1.4405000000000001E-2</v>
      </c>
      <c r="L43" s="74">
        <f>Inputs!$F$29*Assumptions!$D$27</f>
        <v>1.4405000000000001E-2</v>
      </c>
      <c r="M43" s="74">
        <f>Inputs!$F$29*Assumptions!$D$27</f>
        <v>1.4405000000000001E-2</v>
      </c>
      <c r="N43" s="74">
        <f>Inputs!$F$29*Assumptions!$D$27</f>
        <v>1.4405000000000001E-2</v>
      </c>
      <c r="O43" s="28"/>
    </row>
    <row r="44" spans="2:28" ht="15.5" thickBot="1">
      <c r="B44" s="180" t="s">
        <v>63</v>
      </c>
      <c r="C44" s="40" t="s">
        <v>76</v>
      </c>
      <c r="D44" s="46">
        <f>D30/'Cost Model_Calculations'!D35</f>
        <v>8.3250083250083259E-3</v>
      </c>
      <c r="E44" s="46">
        <f>E30/'Cost Model_Calculations'!E35</f>
        <v>8.2567705518525186E-3</v>
      </c>
      <c r="F44" s="46">
        <f>F30/'Cost Model_Calculations'!F35</f>
        <v>8.1896423359837985E-3</v>
      </c>
      <c r="G44" s="46">
        <f>G30/'Cost Model_Calculations'!G35</f>
        <v>8.1235968332742537E-3</v>
      </c>
      <c r="H44" s="118">
        <f>H30/'Cost Model_Calculations'!H35</f>
        <v>8.0586080586080595E-3</v>
      </c>
      <c r="I44" s="46">
        <f>I30/'Cost Model_Calculations'!I35</f>
        <v>7.9630514413123101E-3</v>
      </c>
      <c r="J44" s="76">
        <f>J30/'Cost Model_Calculations'!J35</f>
        <v>7.900596135890255E-3</v>
      </c>
      <c r="K44" s="76">
        <f>K30/'Cost Model_Calculations'!K35</f>
        <v>7.8391128974786561E-3</v>
      </c>
      <c r="L44" s="76">
        <f>L30/'Cost Model_Calculations'!L35</f>
        <v>7.8087287389612976E-3</v>
      </c>
      <c r="M44" s="76">
        <f>M30/'Cost Model_Calculations'!M35</f>
        <v>7.7486615948154404E-3</v>
      </c>
      <c r="N44" s="76">
        <f>N30/'Cost Model_Calculations'!N35</f>
        <v>7.7486615948154404E-3</v>
      </c>
      <c r="O44" s="28"/>
    </row>
    <row r="45" spans="2:28">
      <c r="B45" s="37" t="s">
        <v>87</v>
      </c>
      <c r="C45" s="171" t="s">
        <v>76</v>
      </c>
      <c r="D45" s="55">
        <f>SUM(D39:D44)</f>
        <v>4.4666056043523576E-2</v>
      </c>
      <c r="E45" s="55">
        <f>SUM(E39:E44)</f>
        <v>4.4526035677827244E-2</v>
      </c>
      <c r="F45" s="55">
        <f>SUM(F39:F44)</f>
        <v>4.4388292066044686E-2</v>
      </c>
      <c r="G45" s="55">
        <f>SUM(G39:G44)</f>
        <v>4.4252770125419894E-2</v>
      </c>
      <c r="H45" s="55">
        <f t="shared" ref="H45:N45" si="9">SUM(H39:H44)</f>
        <v>4.4119416535845113E-2</v>
      </c>
      <c r="I45" s="55">
        <f t="shared" si="9"/>
        <v>4.3923339321134354E-2</v>
      </c>
      <c r="J45" s="84">
        <f t="shared" si="9"/>
        <v>4.3702839648679992E-2</v>
      </c>
      <c r="K45" s="84">
        <f t="shared" si="9"/>
        <v>4.3485771877742413E-2</v>
      </c>
      <c r="L45" s="84">
        <f t="shared" si="9"/>
        <v>4.3332864586502456E-2</v>
      </c>
      <c r="M45" s="84">
        <f t="shared" si="9"/>
        <v>4.3121147405707841E-2</v>
      </c>
      <c r="N45" s="84">
        <f t="shared" si="9"/>
        <v>4.3030578633820385E-2</v>
      </c>
      <c r="O45" s="28"/>
    </row>
    <row r="46" spans="2:28">
      <c r="B46" s="33" t="s">
        <v>73</v>
      </c>
      <c r="C46" s="172" t="s">
        <v>76</v>
      </c>
      <c r="D46" s="56">
        <f>D45*0.15</f>
        <v>6.6999084065285366E-3</v>
      </c>
      <c r="E46" s="56">
        <f>E45*0.15</f>
        <v>6.6789053516740863E-3</v>
      </c>
      <c r="F46" s="56">
        <f>F45*0.15</f>
        <v>6.6582438099067028E-3</v>
      </c>
      <c r="G46" s="56">
        <f>G45*0.15</f>
        <v>6.6379155188129842E-3</v>
      </c>
      <c r="H46" s="56">
        <f t="shared" ref="H46:N46" si="10">H45*0.15</f>
        <v>6.6179124803767671E-3</v>
      </c>
      <c r="I46" s="56">
        <f t="shared" si="10"/>
        <v>6.5885008981701526E-3</v>
      </c>
      <c r="J46" s="85">
        <f t="shared" si="10"/>
        <v>6.5554259473019983E-3</v>
      </c>
      <c r="K46" s="85">
        <f t="shared" si="10"/>
        <v>6.5228657816613616E-3</v>
      </c>
      <c r="L46" s="85">
        <f t="shared" si="10"/>
        <v>6.4999296879753683E-3</v>
      </c>
      <c r="M46" s="85">
        <f t="shared" si="10"/>
        <v>6.4681721108561761E-3</v>
      </c>
      <c r="N46" s="85">
        <f t="shared" si="10"/>
        <v>6.4545867950730577E-3</v>
      </c>
      <c r="O46" s="28"/>
    </row>
    <row r="47" spans="2:28">
      <c r="B47" s="37" t="s">
        <v>88</v>
      </c>
      <c r="C47" s="172" t="s">
        <v>76</v>
      </c>
      <c r="D47" s="56">
        <f>D45+D46</f>
        <v>5.1365964450052114E-2</v>
      </c>
      <c r="E47" s="56">
        <f>E45+E46</f>
        <v>5.1204941029501329E-2</v>
      </c>
      <c r="F47" s="56">
        <f>F45+F46</f>
        <v>5.1046535875951392E-2</v>
      </c>
      <c r="G47" s="56">
        <f>G45+G46</f>
        <v>5.089068564423288E-2</v>
      </c>
      <c r="H47" s="56">
        <f t="shared" ref="H47:N47" si="11">H45+H46</f>
        <v>5.0737329016221883E-2</v>
      </c>
      <c r="I47" s="56">
        <f t="shared" si="11"/>
        <v>5.0511840219304507E-2</v>
      </c>
      <c r="J47" s="85">
        <f t="shared" si="11"/>
        <v>5.0258265595981989E-2</v>
      </c>
      <c r="K47" s="85">
        <f t="shared" si="11"/>
        <v>5.0008637659403776E-2</v>
      </c>
      <c r="L47" s="85">
        <f t="shared" si="11"/>
        <v>4.9832794274477822E-2</v>
      </c>
      <c r="M47" s="85">
        <f t="shared" si="11"/>
        <v>4.958931951656402E-2</v>
      </c>
      <c r="N47" s="85">
        <f t="shared" si="11"/>
        <v>4.9485165428893446E-2</v>
      </c>
      <c r="O47" s="28"/>
    </row>
    <row r="48" spans="2:28">
      <c r="B48" s="45" t="s">
        <v>75</v>
      </c>
      <c r="C48" s="174" t="s">
        <v>76</v>
      </c>
      <c r="D48" s="163">
        <f>D47+D38</f>
        <v>5.5932324061512086E-2</v>
      </c>
      <c r="E48" s="163">
        <f>E47+E38</f>
        <v>5.5771300640961301E-2</v>
      </c>
      <c r="F48" s="163">
        <f>F47+F38</f>
        <v>5.5612895487411364E-2</v>
      </c>
      <c r="G48" s="163">
        <f>G47+G38</f>
        <v>5.5457045255692852E-2</v>
      </c>
      <c r="H48" s="163">
        <f>H47+H38</f>
        <v>5.5303688627681855E-2</v>
      </c>
      <c r="I48" s="163" cm="1">
        <f t="array" ref="I48">IF(Inputs!$C$19="Domestic", I47 + I38,
IF(AND(Inputs!$C$19="China", OR(Inputs!$C$3="Germany", Inputs!$C$3="India", Inputs!$C$3="Australia", Inputs!$C$3="Vietnam")),
  INDEX(Country_Index!$D$66:$I$69, MATCH(Inputs!$C$3, Country_Index!$C$66:$C$69, 0), COLUMN(A1)),
IF(AND(Inputs!$C$19="Vietnam", Inputs!$C$3="US"),
  INDEX(Country_Index!$D$70:$I$70, 1, COLUMN(A1)),
  NA())))</f>
        <v>5.505790583904191E-2</v>
      </c>
      <c r="J48" s="164" cm="1">
        <f t="array" ref="J48">IF(Inputs!$C$19="Domestic", J47 + J38,
IF(AND(Inputs!$C$19="China", OR(Inputs!$C$3="Germany", Inputs!$C$3="India", Inputs!$C$3="Australia", Inputs!$C$3="Vietnam")),
  INDEX(Country_Index!$D$66:$I$69, MATCH(Inputs!$C$3, Country_Index!$C$66:$C$69, 0), COLUMN(B1)),
IF(AND(Inputs!$C$19="Vietnam", Inputs!$C$3="US"),
  INDEX(Country_Index!$D$70:$I$70, 1, COLUMN(B1)),
  NA())))</f>
        <v>5.4781509499620365E-2</v>
      </c>
      <c r="K48" s="164" cm="1">
        <f t="array" ref="K48">IF(Inputs!$C$19="Domestic", K47 + K38,
IF(AND(Inputs!$C$19="China", OR(Inputs!$C$3="Germany", Inputs!$C$3="India", Inputs!$C$3="Australia", Inputs!$C$3="Vietnam")),
  INDEX(Country_Index!$D$66:$I$69, MATCH(Inputs!$C$3, Country_Index!$C$66:$C$69, 0), COLUMN(C1)),
IF(AND(Inputs!$C$19="Vietnam", Inputs!$C$3="US"),
  INDEX(Country_Index!$D$70:$I$70, 1, COLUMN(C1)),
  NA())))</f>
        <v>5.4509415048750114E-2</v>
      </c>
      <c r="L48" s="164" cm="1">
        <f t="array" ref="L48">IF(Inputs!$C$19="Domestic", L47 + L38,
IF(AND(Inputs!$C$19="China", OR(Inputs!$C$3="Germany", Inputs!$C$3="India", Inputs!$C$3="Australia", Inputs!$C$3="Vietnam")),
  INDEX(Country_Index!$D$66:$I$69, MATCH(Inputs!$C$3, Country_Index!$C$66:$C$69, 0), COLUMN(D1)),
IF(AND(Inputs!$C$19="Vietnam", Inputs!$C$3="US"),
  INDEX(Country_Index!$D$70:$I$70, 1, COLUMN(D1)),
  NA())))</f>
        <v>5.431774575918083E-2</v>
      </c>
      <c r="M48" s="164" cm="1">
        <f t="array" ref="M48">IF(Inputs!$C$19="Domestic", M47 + M38,
IF(AND(Inputs!$C$19="China", OR(Inputs!$C$3="Germany", Inputs!$C$3="India", Inputs!$C$3="Australia", Inputs!$C$3="Vietnam")),
  INDEX(Country_Index!$D$66:$I$69, MATCH(Inputs!$C$3, Country_Index!$C$66:$C$69, 0), COLUMN(E1)),
IF(AND(Inputs!$C$19="Vietnam", Inputs!$C$3="US"),
  INDEX(Country_Index!$D$70:$I$70, 1, COLUMN(E1)),
  NA())))</f>
        <v>5.4052358273054782E-2</v>
      </c>
      <c r="N48" s="164" cm="1">
        <f t="array" ref="N48">IF(Inputs!$C$19="Domestic", N47 + N38,
IF(AND(Inputs!$C$19="China", OR(Inputs!$C$3="Germany", Inputs!$C$3="India", Inputs!$C$3="Australia", Inputs!$C$3="Vietnam")),
  INDEX(Country_Index!$D$66:$I$69, MATCH(Inputs!$C$3, Country_Index!$C$66:$C$69, 0), COLUMN(F1)),
IF(AND(Inputs!$C$19="Vietnam", Inputs!$C$3="US"),
  INDEX(Country_Index!$D$70:$I$70, 1, COLUMN(F1)),
  NA())))</f>
        <v>5.3938830317493858E-2</v>
      </c>
      <c r="O48" s="28"/>
    </row>
    <row r="49" spans="2:15">
      <c r="C49" s="3"/>
      <c r="D49" s="3"/>
      <c r="E49" s="3"/>
      <c r="F49" s="3"/>
      <c r="G49" s="3"/>
      <c r="H49" s="3"/>
      <c r="I49" s="3"/>
      <c r="J49" s="3"/>
      <c r="K49" s="3"/>
      <c r="L49" s="3"/>
      <c r="M49" s="3"/>
      <c r="N49" s="3"/>
      <c r="O49" s="28"/>
    </row>
    <row r="50" spans="2:15">
      <c r="B50" s="5" t="s">
        <v>89</v>
      </c>
      <c r="C50" s="3"/>
      <c r="D50" s="6">
        <v>2020</v>
      </c>
      <c r="E50" s="6">
        <v>2021</v>
      </c>
      <c r="F50" s="6">
        <v>2022</v>
      </c>
      <c r="G50" s="6">
        <v>2023</v>
      </c>
      <c r="H50" s="6">
        <v>2024</v>
      </c>
      <c r="I50" s="6">
        <v>2025</v>
      </c>
      <c r="J50" s="7">
        <v>2026</v>
      </c>
      <c r="K50" s="7">
        <v>2027</v>
      </c>
      <c r="L50" s="7">
        <v>2028</v>
      </c>
      <c r="M50" s="7">
        <v>2029</v>
      </c>
      <c r="N50" s="7">
        <v>2030</v>
      </c>
      <c r="O50" s="28"/>
    </row>
    <row r="51" spans="2:15">
      <c r="B51" s="17" t="s">
        <v>66</v>
      </c>
      <c r="C51" s="18" t="s">
        <v>90</v>
      </c>
      <c r="D51" s="42">
        <f>Assumptions!$D$35</f>
        <v>5.6000000000000001E-2</v>
      </c>
      <c r="E51" s="42">
        <f>Assumptions!$D$35</f>
        <v>5.6000000000000001E-2</v>
      </c>
      <c r="F51" s="42">
        <f>Assumptions!$D$35</f>
        <v>5.6000000000000001E-2</v>
      </c>
      <c r="G51" s="42">
        <f>Assumptions!$D$35</f>
        <v>5.6000000000000001E-2</v>
      </c>
      <c r="H51" s="42">
        <f>Assumptions!$D$35</f>
        <v>5.6000000000000001E-2</v>
      </c>
      <c r="I51" s="42">
        <f>Assumptions!$D$35</f>
        <v>5.6000000000000001E-2</v>
      </c>
      <c r="J51" s="62">
        <v>5.3999999999999999E-2</v>
      </c>
      <c r="K51" s="62">
        <v>5.2999999999999999E-2</v>
      </c>
      <c r="L51" s="62">
        <v>0.05</v>
      </c>
      <c r="M51" s="62">
        <v>4.8000000000000001E-2</v>
      </c>
      <c r="N51" s="62">
        <v>4.2000000000000003E-2</v>
      </c>
      <c r="O51" s="28"/>
    </row>
    <row r="52" spans="2:15">
      <c r="B52" s="17" t="s">
        <v>63</v>
      </c>
      <c r="C52" s="18" t="s">
        <v>76</v>
      </c>
      <c r="D52" s="50">
        <f t="shared" ref="D52:H52" si="12">0.035/D35</f>
        <v>3.7840946931856031E-3</v>
      </c>
      <c r="E52" s="50">
        <f t="shared" si="12"/>
        <v>3.7530775235693273E-3</v>
      </c>
      <c r="F52" s="50">
        <f t="shared" si="12"/>
        <v>3.7225646981744547E-3</v>
      </c>
      <c r="G52" s="50">
        <f t="shared" si="12"/>
        <v>3.6925440151246614E-3</v>
      </c>
      <c r="H52" s="50">
        <f t="shared" si="12"/>
        <v>3.6630036630036634E-3</v>
      </c>
      <c r="I52" s="50">
        <f>0.035/I35</f>
        <v>3.6195688369601415E-3</v>
      </c>
      <c r="J52" s="73">
        <f>0.03/J35</f>
        <v>3.0781543386585409E-3</v>
      </c>
      <c r="K52" s="73">
        <f>0.029/K35</f>
        <v>2.9523931691802733E-3</v>
      </c>
      <c r="L52" s="73">
        <f>0.028/L35</f>
        <v>2.839537723258654E-3</v>
      </c>
      <c r="M52" s="73">
        <f>0.0285/M35</f>
        <v>2.8680111097693513E-3</v>
      </c>
      <c r="N52" s="73">
        <f>0.028/N35</f>
        <v>2.8176951253874329E-3</v>
      </c>
      <c r="O52" s="28"/>
    </row>
    <row r="53" spans="2:15">
      <c r="B53" s="17" t="s">
        <v>58</v>
      </c>
      <c r="C53" s="18" t="s">
        <v>27</v>
      </c>
      <c r="D53" s="42">
        <f>Inputs!$F$23</f>
        <v>4000000000</v>
      </c>
      <c r="E53" s="42">
        <f>Inputs!$F$23</f>
        <v>4000000000</v>
      </c>
      <c r="F53" s="42">
        <f>Inputs!$F$23</f>
        <v>4000000000</v>
      </c>
      <c r="G53" s="42">
        <f>Inputs!$F$23</f>
        <v>4000000000</v>
      </c>
      <c r="H53" s="42">
        <f>Inputs!$F$23</f>
        <v>4000000000</v>
      </c>
      <c r="I53" s="42">
        <f>Inputs!$F$23</f>
        <v>4000000000</v>
      </c>
      <c r="J53" s="59">
        <f>Inputs!$F$23</f>
        <v>4000000000</v>
      </c>
      <c r="K53" s="59">
        <f>Inputs!$F$23</f>
        <v>4000000000</v>
      </c>
      <c r="L53" s="62">
        <f>Inputs!$F$24</f>
        <v>6000000000</v>
      </c>
      <c r="M53" s="62">
        <f>Inputs!$F$24</f>
        <v>6000000000</v>
      </c>
      <c r="N53" s="62">
        <f>Inputs!$F$24</f>
        <v>6000000000</v>
      </c>
      <c r="O53" s="28"/>
    </row>
    <row r="54" spans="2:15">
      <c r="B54" s="17" t="s">
        <v>83</v>
      </c>
      <c r="C54" s="18" t="s">
        <v>60</v>
      </c>
      <c r="D54" s="42">
        <v>0.24199999999999999</v>
      </c>
      <c r="E54" s="42">
        <v>0.24399999999999999</v>
      </c>
      <c r="F54" s="42">
        <v>0.246</v>
      </c>
      <c r="G54" s="42">
        <v>0.248</v>
      </c>
      <c r="H54" s="42">
        <v>0.25</v>
      </c>
      <c r="I54" s="42">
        <v>0.253</v>
      </c>
      <c r="J54" s="59">
        <v>0.255</v>
      </c>
      <c r="K54" s="59">
        <v>0.25700000000000001</v>
      </c>
      <c r="L54" s="59">
        <v>0.25800000000000001</v>
      </c>
      <c r="M54" s="59">
        <v>0.26</v>
      </c>
      <c r="N54" s="59">
        <v>0.26</v>
      </c>
      <c r="O54" s="28"/>
    </row>
    <row r="55" spans="2:15">
      <c r="B55" s="17" t="s">
        <v>91</v>
      </c>
      <c r="C55" s="18" t="s">
        <v>92</v>
      </c>
      <c r="D55" s="112">
        <f>(0.00016*D56)/D35</f>
        <v>1.4755806963599176E-2</v>
      </c>
      <c r="E55" s="112">
        <f>(0.00016*E56)/E35</f>
        <v>1.4652014652014654E-2</v>
      </c>
      <c r="F55" s="112">
        <f>(0.00016*F56)/F35</f>
        <v>1.4549910020293296E-2</v>
      </c>
      <c r="G55" s="112">
        <f>(0.00016*G56)/G35</f>
        <v>1.4449452237470673E-2</v>
      </c>
      <c r="H55" s="112">
        <f>(0.00014*H56)/H35</f>
        <v>1.2498168498168497E-2</v>
      </c>
      <c r="I55" s="112">
        <f>(0.00013*I56)/I35</f>
        <v>1.1467828238014571E-2</v>
      </c>
      <c r="J55" s="113">
        <f>(0.00012*J56)/J35</f>
        <v>1.0502662603502941E-2</v>
      </c>
      <c r="K55" s="113">
        <f>(0.00012*K56)/K35</f>
        <v>1.0420929820596303E-2</v>
      </c>
      <c r="L55" s="113">
        <f>(0.00012*L56)/L35</f>
        <v>1.0380538619741279E-2</v>
      </c>
      <c r="M55" s="113">
        <f>(0.00011*M56)/M35</f>
        <v>9.4422976291108143E-3</v>
      </c>
      <c r="N55" s="113">
        <f>(0.0001*N56)/N35</f>
        <v>8.5839069355552865E-3</v>
      </c>
      <c r="O55" s="145"/>
    </row>
    <row r="56" spans="2:15">
      <c r="B56" s="17" t="s">
        <v>93</v>
      </c>
      <c r="C56" s="18" t="s">
        <v>22</v>
      </c>
      <c r="D56" s="42">
        <v>853</v>
      </c>
      <c r="E56" s="42">
        <v>854</v>
      </c>
      <c r="F56" s="42">
        <v>855</v>
      </c>
      <c r="G56" s="42">
        <v>856</v>
      </c>
      <c r="H56" s="42">
        <v>853</v>
      </c>
      <c r="I56" s="42">
        <v>853</v>
      </c>
      <c r="J56" s="59">
        <v>853</v>
      </c>
      <c r="K56" s="59">
        <v>853</v>
      </c>
      <c r="L56" s="59">
        <v>853</v>
      </c>
      <c r="M56" s="59">
        <v>853</v>
      </c>
      <c r="N56" s="59">
        <v>853</v>
      </c>
      <c r="O56" s="28"/>
    </row>
    <row r="57" spans="2:15">
      <c r="C57" s="3"/>
      <c r="D57" s="3"/>
      <c r="E57" s="3"/>
      <c r="F57" s="3"/>
      <c r="G57" s="3"/>
      <c r="H57" s="3"/>
      <c r="I57" s="3"/>
      <c r="J57" s="3"/>
      <c r="K57" s="3"/>
      <c r="L57" s="3"/>
      <c r="M57" s="3"/>
      <c r="N57" s="3"/>
      <c r="O57" s="28"/>
    </row>
    <row r="58" spans="2:15">
      <c r="B58" s="5" t="s">
        <v>89</v>
      </c>
      <c r="C58" s="3"/>
      <c r="D58" s="6">
        <v>2020</v>
      </c>
      <c r="E58" s="6">
        <v>2021</v>
      </c>
      <c r="F58" s="6">
        <v>2022</v>
      </c>
      <c r="G58" s="6">
        <v>2023</v>
      </c>
      <c r="H58" s="6">
        <v>2024</v>
      </c>
      <c r="I58" s="6">
        <v>2025</v>
      </c>
      <c r="J58" s="7">
        <v>2026</v>
      </c>
      <c r="K58" s="7">
        <v>2027</v>
      </c>
      <c r="L58" s="7">
        <v>2028</v>
      </c>
      <c r="M58" s="7">
        <v>2029</v>
      </c>
      <c r="N58" s="7">
        <v>2030</v>
      </c>
      <c r="O58" s="28"/>
    </row>
    <row r="59" spans="2:15">
      <c r="B59" s="17" t="s">
        <v>65</v>
      </c>
      <c r="C59" s="18" t="s">
        <v>76</v>
      </c>
      <c r="D59" s="52">
        <f>(((D53*0.9)*'Cost Model_Calculations'!$H$68)/'Cost Model_Calculations'!D53)*Assumptions!$D$37</f>
        <v>5.3929888186813194E-3</v>
      </c>
      <c r="E59" s="52">
        <f>(((E53*0.9)*'Cost Model_Calculations'!$H$68)/'Cost Model_Calculations'!E53)*Assumptions!$D$37</f>
        <v>5.3929888186813194E-3</v>
      </c>
      <c r="F59" s="52">
        <f>(((F53*0.9)*'Cost Model_Calculations'!$H$68)/'Cost Model_Calculations'!F53)*Assumptions!$D$37</f>
        <v>5.3929888186813194E-3</v>
      </c>
      <c r="G59" s="52">
        <f>(((G53*0.9)*'Cost Model_Calculations'!$H$68)/'Cost Model_Calculations'!G53)*Assumptions!$D$37</f>
        <v>5.3929888186813194E-3</v>
      </c>
      <c r="H59" s="52">
        <f>(((H53*0.9)*H68)/'Cost Model_Calculations'!H53)*Assumptions!$D$37</f>
        <v>5.3929888186813194E-3</v>
      </c>
      <c r="I59" s="52">
        <f>(((I53*0.9)*I68)/'Cost Model_Calculations'!I53)*Assumptions!$D$37</f>
        <v>5.2818530972598837E-3</v>
      </c>
      <c r="J59" s="124">
        <f>(((J53*0.9)*J68)/'Cost Model_Calculations'!J53)*Assumptions!$D$37</f>
        <v>5.1072920535137137E-3</v>
      </c>
      <c r="K59" s="124">
        <f>(((K53*0.9)*K68)/'Cost Model_Calculations'!K53)*Assumptions!$D$37</f>
        <v>5.076501429441875E-3</v>
      </c>
      <c r="L59" s="124">
        <f>(((L53*0.9)*L68)/'Cost Model_Calculations'!L53)*Assumptions!$D$37</f>
        <v>5.0326954015004937E-3</v>
      </c>
      <c r="M59" s="124">
        <f>(((M53*0.9)*M68)/'Cost Model_Calculations'!M53)*Assumptions!$D$37</f>
        <v>4.9199044544740974E-3</v>
      </c>
      <c r="N59" s="124">
        <f>(((N53*0.9)*N68)/'Cost Model_Calculations'!N53)*Assumptions!$D$37</f>
        <v>4.7699633133075721E-3</v>
      </c>
      <c r="O59" s="28"/>
    </row>
    <row r="60" spans="2:15">
      <c r="B60" s="17" t="s">
        <v>66</v>
      </c>
      <c r="C60" s="18" t="s">
        <v>76</v>
      </c>
      <c r="D60" s="52">
        <f>D51*Inputs!$F$28</f>
        <v>5.0400000000000002E-3</v>
      </c>
      <c r="E60" s="52">
        <f>E51*Inputs!$F$28</f>
        <v>5.0400000000000002E-3</v>
      </c>
      <c r="F60" s="52">
        <f>F51*Inputs!$F$28</f>
        <v>5.0400000000000002E-3</v>
      </c>
      <c r="G60" s="52">
        <f>G51*Inputs!$F$28</f>
        <v>5.0400000000000002E-3</v>
      </c>
      <c r="H60" s="52">
        <f>H51*Inputs!$F$28</f>
        <v>5.0400000000000002E-3</v>
      </c>
      <c r="I60" s="52">
        <f>I51*Inputs!$F$28</f>
        <v>5.0400000000000002E-3</v>
      </c>
      <c r="J60" s="124">
        <f>J51*Inputs!$F$28</f>
        <v>4.8599999999999997E-3</v>
      </c>
      <c r="K60" s="124">
        <f>K51*Inputs!$F$28</f>
        <v>4.7699999999999999E-3</v>
      </c>
      <c r="L60" s="124">
        <f>L51*Inputs!$F$28</f>
        <v>4.4999999999999997E-3</v>
      </c>
      <c r="M60" s="124">
        <f>M51*Inputs!$F$28</f>
        <v>4.3200000000000001E-3</v>
      </c>
      <c r="N60" s="124">
        <f>N51*Inputs!$F$28</f>
        <v>3.7799999999999999E-3</v>
      </c>
      <c r="O60" s="28"/>
    </row>
    <row r="61" spans="2:15">
      <c r="B61" s="17" t="s">
        <v>67</v>
      </c>
      <c r="C61" s="18" t="s">
        <v>76</v>
      </c>
      <c r="D61" s="43">
        <f>(Inputs!$F$31/Assumptions!$D$33)/1000</f>
        <v>2.5000000000000001E-3</v>
      </c>
      <c r="E61" s="43">
        <f>(Inputs!$F$31/Assumptions!$D$33)/1000</f>
        <v>2.5000000000000001E-3</v>
      </c>
      <c r="F61" s="43">
        <f>(Inputs!$F$31/Assumptions!$D$33)/1000</f>
        <v>2.5000000000000001E-3</v>
      </c>
      <c r="G61" s="43">
        <f>(Inputs!$F$31/Assumptions!$D$33)/1000</f>
        <v>2.5000000000000001E-3</v>
      </c>
      <c r="H61" s="43">
        <f>(Inputs!$F$31/Assumptions!$D$33)/1000</f>
        <v>2.5000000000000001E-3</v>
      </c>
      <c r="I61" s="43">
        <f>(Inputs!$F$31/Assumptions!$D$33)/1000</f>
        <v>2.5000000000000001E-3</v>
      </c>
      <c r="J61" s="74">
        <f>(Inputs!$F$31/Assumptions!$D$33)/1000</f>
        <v>2.5000000000000001E-3</v>
      </c>
      <c r="K61" s="74">
        <f>(Inputs!$F$31/Assumptions!$D$33)/1000</f>
        <v>2.5000000000000001E-3</v>
      </c>
      <c r="L61" s="74">
        <f>(Inputs!$F$31/Assumptions!$D$33)/1000</f>
        <v>2.5000000000000001E-3</v>
      </c>
      <c r="M61" s="74">
        <f>(Inputs!$F$31/Assumptions!$D$33)/1000</f>
        <v>2.5000000000000001E-3</v>
      </c>
      <c r="N61" s="74">
        <f>(Inputs!$F$31/Assumptions!$D$33)/1000</f>
        <v>2.5000000000000001E-3</v>
      </c>
      <c r="O61" s="28"/>
    </row>
    <row r="62" spans="2:15">
      <c r="B62" s="17" t="s">
        <v>68</v>
      </c>
      <c r="C62" s="18" t="s">
        <v>76</v>
      </c>
      <c r="D62" s="43">
        <f>(Inputs!$F$26/Assumptions!$D$32)/1000</f>
        <v>0.01</v>
      </c>
      <c r="E62" s="43">
        <f>(Inputs!$F$26/Assumptions!$D$32)/1000</f>
        <v>0.01</v>
      </c>
      <c r="F62" s="43">
        <f>(Inputs!$F$26/Assumptions!$D$32)/1000</f>
        <v>0.01</v>
      </c>
      <c r="G62" s="43">
        <f>(Inputs!$F$26/Assumptions!$D$32)/1000</f>
        <v>0.01</v>
      </c>
      <c r="H62" s="43">
        <f>(Inputs!$F$26/Assumptions!$D$32)/1000</f>
        <v>0.01</v>
      </c>
      <c r="I62" s="43">
        <f>(Inputs!$F$26/Assumptions!$D$32)/1000</f>
        <v>0.01</v>
      </c>
      <c r="J62" s="74">
        <f>(Inputs!$F$26/Assumptions!$D$32)/1000</f>
        <v>0.01</v>
      </c>
      <c r="K62" s="74">
        <f>(Inputs!$F$26/Assumptions!$D$32)/1000</f>
        <v>0.01</v>
      </c>
      <c r="L62" s="74">
        <f>(Inputs!$F$26/Assumptions!$D$32)/1000</f>
        <v>0.01</v>
      </c>
      <c r="M62" s="74">
        <f>(Inputs!$F$26/Assumptions!$D$32)/1000</f>
        <v>0.01</v>
      </c>
      <c r="N62" s="74">
        <f>(Inputs!$F$26/Assumptions!$D$32)/1000</f>
        <v>0.01</v>
      </c>
      <c r="O62" s="28"/>
    </row>
    <row r="63" spans="2:15">
      <c r="B63" s="17" t="s">
        <v>69</v>
      </c>
      <c r="C63" s="18" t="s">
        <v>76</v>
      </c>
      <c r="D63" s="44">
        <f>Assumptions!$D$34/100*(Inputs!$F$26+Inputs!$F$31)/1000</f>
        <v>4.0000000000000001E-3</v>
      </c>
      <c r="E63" s="44">
        <f>Assumptions!$D$34/100*(Inputs!$F$26+Inputs!$F$31)/1000</f>
        <v>4.0000000000000001E-3</v>
      </c>
      <c r="F63" s="44">
        <f>Assumptions!$D$34/100*(Inputs!$F$26+Inputs!$F$31)/1000</f>
        <v>4.0000000000000001E-3</v>
      </c>
      <c r="G63" s="44">
        <f>Assumptions!$D$34/100*(Inputs!$F$26+Inputs!$F$31)/1000</f>
        <v>4.0000000000000001E-3</v>
      </c>
      <c r="H63" s="44">
        <f>Assumptions!$D$34/100*(Inputs!$F$26+Inputs!$F$31)/1000</f>
        <v>4.0000000000000001E-3</v>
      </c>
      <c r="I63" s="44">
        <f>Assumptions!$D$34/100*(Inputs!$F$26+Inputs!$F$31)/1000</f>
        <v>4.0000000000000001E-3</v>
      </c>
      <c r="J63" s="75">
        <f>Assumptions!$D$34/100*(Inputs!$F$26+Inputs!$F$31)/1000</f>
        <v>4.0000000000000001E-3</v>
      </c>
      <c r="K63" s="75">
        <f>Assumptions!$D$34/100*(Inputs!$F$26+Inputs!$F$31)/1000</f>
        <v>4.0000000000000001E-3</v>
      </c>
      <c r="L63" s="75">
        <f>Assumptions!$D$34/100*(Inputs!$F$26+Inputs!$F$31)/1000</f>
        <v>4.0000000000000001E-3</v>
      </c>
      <c r="M63" s="75">
        <f>Assumptions!$D$34/100*(Inputs!$F$26+Inputs!$F$31)/1000</f>
        <v>4.0000000000000001E-3</v>
      </c>
      <c r="N63" s="75">
        <f>Assumptions!$D$34/100*(Inputs!$F$26+Inputs!$F$31)/1000</f>
        <v>4.0000000000000001E-3</v>
      </c>
      <c r="O63" s="28"/>
    </row>
    <row r="64" spans="2:15">
      <c r="B64" s="17" t="s">
        <v>70</v>
      </c>
      <c r="C64" s="18" t="s">
        <v>76</v>
      </c>
      <c r="D64" s="43">
        <f>Inputs!$F$29*Assumptions!$D$38</f>
        <v>1.4405000000000001E-2</v>
      </c>
      <c r="E64" s="43">
        <f>Inputs!$F$29*Assumptions!$D$38</f>
        <v>1.4405000000000001E-2</v>
      </c>
      <c r="F64" s="43">
        <f>Inputs!$F$29*Assumptions!$D$38</f>
        <v>1.4405000000000001E-2</v>
      </c>
      <c r="G64" s="43">
        <f>Inputs!$F$29*Assumptions!$D$38</f>
        <v>1.4405000000000001E-2</v>
      </c>
      <c r="H64" s="43">
        <f>Inputs!$F$29*Assumptions!$D$38</f>
        <v>1.4405000000000001E-2</v>
      </c>
      <c r="I64" s="43">
        <f>Inputs!$F$29*Assumptions!$D$38</f>
        <v>1.4405000000000001E-2</v>
      </c>
      <c r="J64" s="74">
        <f>Inputs!$F$29*Assumptions!$D$38</f>
        <v>1.4405000000000001E-2</v>
      </c>
      <c r="K64" s="74">
        <f>Inputs!$F$29*Assumptions!$D$38</f>
        <v>1.4405000000000001E-2</v>
      </c>
      <c r="L64" s="74">
        <f>Inputs!$F$29*Assumptions!$D$38</f>
        <v>1.4405000000000001E-2</v>
      </c>
      <c r="M64" s="74">
        <f>Inputs!$F$29*Assumptions!$D$38</f>
        <v>1.4405000000000001E-2</v>
      </c>
      <c r="N64" s="74">
        <f>Inputs!$F$29*Assumptions!$D$38</f>
        <v>1.4405000000000001E-2</v>
      </c>
      <c r="O64" s="28"/>
    </row>
    <row r="65" spans="2:15" ht="15.5" thickBot="1">
      <c r="B65" s="39" t="s">
        <v>94</v>
      </c>
      <c r="C65" s="40" t="s">
        <v>76</v>
      </c>
      <c r="D65" s="192">
        <f t="shared" ref="D65:N65" si="13">D52+D55</f>
        <v>1.853990165678478E-2</v>
      </c>
      <c r="E65" s="192">
        <f t="shared" si="13"/>
        <v>1.8405092175583983E-2</v>
      </c>
      <c r="F65" s="192">
        <f t="shared" si="13"/>
        <v>1.8272474718467751E-2</v>
      </c>
      <c r="G65" s="127">
        <f t="shared" si="13"/>
        <v>1.8141996252595334E-2</v>
      </c>
      <c r="H65" s="127">
        <f>H52+H55</f>
        <v>1.616117216117216E-2</v>
      </c>
      <c r="I65" s="127">
        <f t="shared" si="13"/>
        <v>1.5087397074974713E-2</v>
      </c>
      <c r="J65" s="125">
        <f>J52+J55</f>
        <v>1.3580816942161483E-2</v>
      </c>
      <c r="K65" s="125">
        <f t="shared" si="13"/>
        <v>1.3373322989776577E-2</v>
      </c>
      <c r="L65" s="125">
        <f t="shared" si="13"/>
        <v>1.3220076342999933E-2</v>
      </c>
      <c r="M65" s="125">
        <f t="shared" si="13"/>
        <v>1.2310308738880166E-2</v>
      </c>
      <c r="N65" s="125">
        <f t="shared" si="13"/>
        <v>1.140160206094272E-2</v>
      </c>
      <c r="O65" s="28"/>
    </row>
    <row r="66" spans="2:15">
      <c r="B66" s="37" t="s">
        <v>87</v>
      </c>
      <c r="C66" s="171" t="s">
        <v>76</v>
      </c>
      <c r="D66" s="55">
        <f>SUM(D60:D65)</f>
        <v>5.4484901656784782E-2</v>
      </c>
      <c r="E66" s="55">
        <f>SUM(E60:E65)</f>
        <v>5.4350092175583987E-2</v>
      </c>
      <c r="F66" s="55">
        <f>SUM(F60:F65)</f>
        <v>5.4217474718467759E-2</v>
      </c>
      <c r="G66" s="55">
        <f>SUM(G60:G65)</f>
        <v>5.4086996252595339E-2</v>
      </c>
      <c r="H66" s="55">
        <f t="shared" ref="H66:N66" si="14">SUM(H60:H65)</f>
        <v>5.2106172161172165E-2</v>
      </c>
      <c r="I66" s="55">
        <f t="shared" si="14"/>
        <v>5.1032397074974714E-2</v>
      </c>
      <c r="J66" s="84">
        <f t="shared" si="14"/>
        <v>4.9345816942161488E-2</v>
      </c>
      <c r="K66" s="84">
        <f t="shared" si="14"/>
        <v>4.9048322989776572E-2</v>
      </c>
      <c r="L66" s="84">
        <f t="shared" si="14"/>
        <v>4.8625076342999937E-2</v>
      </c>
      <c r="M66" s="84">
        <f t="shared" si="14"/>
        <v>4.7535308738880171E-2</v>
      </c>
      <c r="N66" s="84">
        <f t="shared" si="14"/>
        <v>4.608660206094272E-2</v>
      </c>
      <c r="O66" s="28"/>
    </row>
    <row r="67" spans="2:15">
      <c r="B67" s="33" t="s">
        <v>73</v>
      </c>
      <c r="C67" s="171" t="s">
        <v>76</v>
      </c>
      <c r="D67" s="56">
        <f>D66*0.15</f>
        <v>8.1727352485177172E-3</v>
      </c>
      <c r="E67" s="56">
        <f>E66*0.15</f>
        <v>8.1525138263375974E-3</v>
      </c>
      <c r="F67" s="56">
        <f>F66*0.15</f>
        <v>8.1326212077701635E-3</v>
      </c>
      <c r="G67" s="56">
        <f>G66*0.15</f>
        <v>8.1130494378893001E-3</v>
      </c>
      <c r="H67" s="56">
        <f>H66*0.15</f>
        <v>7.8159258241758244E-3</v>
      </c>
      <c r="I67" s="56">
        <f t="shared" ref="I67:N67" si="15">I66*0.15</f>
        <v>7.6548595612462066E-3</v>
      </c>
      <c r="J67" s="85">
        <f t="shared" si="15"/>
        <v>7.4018725413242227E-3</v>
      </c>
      <c r="K67" s="85">
        <f t="shared" si="15"/>
        <v>7.3572484484664856E-3</v>
      </c>
      <c r="L67" s="85">
        <f t="shared" si="15"/>
        <v>7.2937614514499904E-3</v>
      </c>
      <c r="M67" s="85">
        <f t="shared" si="15"/>
        <v>7.1302963108320254E-3</v>
      </c>
      <c r="N67" s="85">
        <f t="shared" si="15"/>
        <v>6.9129903091414077E-3</v>
      </c>
      <c r="O67" s="28"/>
    </row>
    <row r="68" spans="2:15">
      <c r="B68" s="37" t="s">
        <v>74</v>
      </c>
      <c r="C68" s="171" t="s">
        <v>76</v>
      </c>
      <c r="D68" s="56">
        <f>D67+D66</f>
        <v>6.2657636905302502E-2</v>
      </c>
      <c r="E68" s="56">
        <f>E67+E66</f>
        <v>6.250260600192159E-2</v>
      </c>
      <c r="F68" s="56">
        <f>F67+F66</f>
        <v>6.2350095926237921E-2</v>
      </c>
      <c r="G68" s="56">
        <f>G67+G66</f>
        <v>6.2200045690484637E-2</v>
      </c>
      <c r="H68" s="56">
        <f>H67+H66</f>
        <v>5.9922097985347991E-2</v>
      </c>
      <c r="I68" s="56">
        <f t="shared" ref="I68:N68" si="16">I67+I66</f>
        <v>5.8687256636220923E-2</v>
      </c>
      <c r="J68" s="85">
        <f t="shared" si="16"/>
        <v>5.6747689483485714E-2</v>
      </c>
      <c r="K68" s="85">
        <f t="shared" si="16"/>
        <v>5.6405571438243055E-2</v>
      </c>
      <c r="L68" s="85">
        <f t="shared" si="16"/>
        <v>5.5918837794449928E-2</v>
      </c>
      <c r="M68" s="85">
        <f t="shared" si="16"/>
        <v>5.4665605049712199E-2</v>
      </c>
      <c r="N68" s="85">
        <f t="shared" si="16"/>
        <v>5.2999592370084128E-2</v>
      </c>
      <c r="O68" s="28"/>
    </row>
    <row r="69" spans="2:15">
      <c r="B69" s="45" t="s">
        <v>75</v>
      </c>
      <c r="C69" s="174" t="s">
        <v>76</v>
      </c>
      <c r="D69" s="163">
        <f>D68+D59</f>
        <v>6.8050625723983821E-2</v>
      </c>
      <c r="E69" s="163">
        <f>E68+E59</f>
        <v>6.7895594820602909E-2</v>
      </c>
      <c r="F69" s="163">
        <f>F68+F59</f>
        <v>6.7743084744919246E-2</v>
      </c>
      <c r="G69" s="163">
        <f>G68+G59</f>
        <v>6.7593034509165956E-2</v>
      </c>
      <c r="H69" s="163">
        <f>H68+H59</f>
        <v>6.531508680402931E-2</v>
      </c>
      <c r="I69" s="163" cm="1">
        <f t="array" ref="I69">IF(Inputs!$C$20="Domestic", I68 + I59,
IF(AND(Inputs!$C$20="China", OR(Inputs!$C$3="Germany", Inputs!$C$3="India", Inputs!$C$3="Australia", Inputs!$C$3="Vietnam")),
  INDEX(Country_Index!$D$74:$I$77, MATCH(Inputs!$C$3, Country_Index!$C$74:$C$77, 0), COLUMN(A1)),
IF(AND(Inputs!$C$20="Vietnam", Inputs!$C$3="US"),
  INDEX(Country_Index!$D$78:$I$78, 1, COLUMN(A1)),
  NA())))</f>
        <v>6.39691097334808E-2</v>
      </c>
      <c r="J69" s="164" cm="1">
        <f t="array" ref="J69">IF(Inputs!$C$20="Domestic", J68 + J59,
IF(AND(Inputs!$C$20="China", OR(Inputs!$C$3="Germany", Inputs!$C$3="India", Inputs!$C$3="Australia", Inputs!$C$3="Vietnam")),
  INDEX(Country_Index!$D$74:$I$77, MATCH(Inputs!$C$3, Country_Index!$C$74:$C$77, 0), COLUMN(B1)),
IF(AND(Inputs!$C$20="Vietnam", Inputs!$C$3="US"),
  INDEX(Country_Index!$D$78:$I$78, 1, COLUMN(B1)),
  NA())))</f>
        <v>6.1854981536999427E-2</v>
      </c>
      <c r="K69" s="164" cm="1">
        <f t="array" ref="K69">IF(Inputs!$C$20="Domestic", K68 + K59,
IF(AND(Inputs!$C$20="China", OR(Inputs!$C$3="Germany", Inputs!$C$3="India", Inputs!$C$3="Australia", Inputs!$C$3="Vietnam")),
  INDEX(Country_Index!$D$74:$I$77, MATCH(Inputs!$C$3, Country_Index!$C$74:$C$77, 0), COLUMN(C1)),
IF(AND(Inputs!$C$20="Vietnam", Inputs!$C$3="US"),
  INDEX(Country_Index!$D$78:$I$78, 1, COLUMN(C1)),
  NA())))</f>
        <v>6.148207286768493E-2</v>
      </c>
      <c r="L69" s="164" cm="1">
        <f t="array" ref="L69">IF(Inputs!$C$20="Domestic", L68 + L59,
IF(AND(Inputs!$C$20="China", OR(Inputs!$C$3="Germany", Inputs!$C$3="India", Inputs!$C$3="Australia", Inputs!$C$3="Vietnam")),
  INDEX(Country_Index!$D$74:$I$77, MATCH(Inputs!$C$3, Country_Index!$C$74:$C$77, 0), COLUMN(D1)),
IF(AND(Inputs!$C$20="Vietnam", Inputs!$C$3="US"),
  INDEX(Country_Index!$D$78:$I$78, 1, COLUMN(D1)),
  NA())))</f>
        <v>6.0951533195950425E-2</v>
      </c>
      <c r="M69" s="164" cm="1">
        <f t="array" ref="M69">IF(Inputs!$C$20="Domestic", M68 + M59,
IF(AND(Inputs!$C$20="China", OR(Inputs!$C$3="Germany", Inputs!$C$3="India", Inputs!$C$3="Australia", Inputs!$C$3="Vietnam")),
  INDEX(Country_Index!$D$74:$I$77, MATCH(Inputs!$C$3, Country_Index!$C$74:$C$77, 0), COLUMN(E1)),
IF(AND(Inputs!$C$20="Vietnam", Inputs!$C$3="US"),
  INDEX(Country_Index!$D$78:$I$78, 1, COLUMN(E1)),
  NA())))</f>
        <v>5.9585509504186299E-2</v>
      </c>
      <c r="N69" s="164" cm="1">
        <f t="array" ref="N69">IF(Inputs!$C$20="Domestic", N68 + N59,
IF(AND(Inputs!$C$20="China", OR(Inputs!$C$3="Germany", Inputs!$C$3="India", Inputs!$C$3="Australia", Inputs!$C$3="Vietnam")),
  INDEX(Country_Index!$D$74:$I$77, MATCH(Inputs!$C$3, Country_Index!$C$74:$C$77, 0), COLUMN(F1)),
IF(AND(Inputs!$C$20="Vietnam", Inputs!$C$3="US"),
  INDEX(Country_Index!$D$78:$I$78, 1, COLUMN(F1)),
  NA())))</f>
        <v>5.7769555683391698E-2</v>
      </c>
      <c r="O69" s="28"/>
    </row>
    <row r="70" spans="2:15">
      <c r="C70" s="3"/>
      <c r="D70" s="19"/>
      <c r="E70" s="19"/>
      <c r="F70" s="19"/>
      <c r="G70" s="19"/>
      <c r="H70" s="19"/>
      <c r="I70" s="19"/>
      <c r="J70" s="19"/>
      <c r="K70" s="19"/>
      <c r="L70" s="19"/>
      <c r="M70" s="19"/>
      <c r="N70" s="19"/>
      <c r="O70" s="28"/>
    </row>
    <row r="71" spans="2:15">
      <c r="B71" s="5" t="s">
        <v>95</v>
      </c>
      <c r="C71" s="3"/>
      <c r="D71" s="6">
        <v>2020</v>
      </c>
      <c r="E71" s="6">
        <v>2021</v>
      </c>
      <c r="F71" s="6">
        <v>2022</v>
      </c>
      <c r="G71" s="6">
        <v>2023</v>
      </c>
      <c r="H71" s="6">
        <v>2024</v>
      </c>
      <c r="I71" s="6">
        <v>2025</v>
      </c>
      <c r="J71" s="7">
        <v>2026</v>
      </c>
      <c r="K71" s="7">
        <v>2027</v>
      </c>
      <c r="L71" s="7">
        <v>2028</v>
      </c>
      <c r="M71" s="7">
        <v>2029</v>
      </c>
      <c r="N71" s="7">
        <v>2030</v>
      </c>
      <c r="O71" s="28"/>
    </row>
    <row r="72" spans="2:15">
      <c r="B72" s="49" t="s">
        <v>66</v>
      </c>
      <c r="C72" s="18" t="s">
        <v>96</v>
      </c>
      <c r="D72" s="8">
        <f>Assumptions!$D$45</f>
        <v>2.5000000000000001E-2</v>
      </c>
      <c r="E72" s="8">
        <f>Assumptions!$D$45</f>
        <v>2.5000000000000001E-2</v>
      </c>
      <c r="F72" s="8">
        <f>Assumptions!$D$45</f>
        <v>2.5000000000000001E-2</v>
      </c>
      <c r="G72" s="8">
        <f>Assumptions!$D$45</f>
        <v>2.5000000000000001E-2</v>
      </c>
      <c r="H72" s="8">
        <f>Assumptions!$D$45</f>
        <v>2.5000000000000001E-2</v>
      </c>
      <c r="I72" s="8">
        <f>Assumptions!$D$45</f>
        <v>2.5000000000000001E-2</v>
      </c>
      <c r="J72" s="62">
        <v>2.4E-2</v>
      </c>
      <c r="K72" s="62">
        <v>2.3E-2</v>
      </c>
      <c r="L72" s="62">
        <v>2.1999999999999999E-2</v>
      </c>
      <c r="M72" s="62">
        <v>2.1000000000000001E-2</v>
      </c>
      <c r="N72" s="62">
        <v>0.02</v>
      </c>
      <c r="O72" s="28"/>
    </row>
    <row r="73" spans="2:15">
      <c r="B73" s="49" t="s">
        <v>97</v>
      </c>
      <c r="C73" s="18" t="s">
        <v>98</v>
      </c>
      <c r="D73" s="8">
        <v>66</v>
      </c>
      <c r="E73" s="8">
        <v>66</v>
      </c>
      <c r="F73" s="8">
        <v>66</v>
      </c>
      <c r="G73" s="8">
        <v>66</v>
      </c>
      <c r="H73" s="8">
        <v>66</v>
      </c>
      <c r="I73" s="8">
        <v>66</v>
      </c>
      <c r="J73" s="62">
        <v>66</v>
      </c>
      <c r="K73" s="62">
        <v>66</v>
      </c>
      <c r="L73" s="62">
        <v>66</v>
      </c>
      <c r="M73" s="62">
        <v>66</v>
      </c>
      <c r="N73" s="62">
        <v>66</v>
      </c>
      <c r="O73" s="28"/>
    </row>
    <row r="74" spans="2:15">
      <c r="B74" s="49" t="s">
        <v>99</v>
      </c>
      <c r="C74" s="18" t="s">
        <v>100</v>
      </c>
      <c r="D74" s="8">
        <v>441</v>
      </c>
      <c r="E74" s="8">
        <v>441</v>
      </c>
      <c r="F74" s="8">
        <v>441</v>
      </c>
      <c r="G74" s="8">
        <v>441</v>
      </c>
      <c r="H74" s="8">
        <v>441</v>
      </c>
      <c r="I74" s="8">
        <v>441</v>
      </c>
      <c r="J74" s="62">
        <v>441</v>
      </c>
      <c r="K74" s="62">
        <v>441</v>
      </c>
      <c r="L74" s="62">
        <v>441</v>
      </c>
      <c r="M74" s="62">
        <v>441</v>
      </c>
      <c r="N74" s="62">
        <v>441</v>
      </c>
      <c r="O74" s="28"/>
    </row>
    <row r="75" spans="2:15">
      <c r="B75" s="49" t="s">
        <v>101</v>
      </c>
      <c r="C75" s="18" t="s">
        <v>60</v>
      </c>
      <c r="D75" s="8">
        <v>0.24</v>
      </c>
      <c r="E75" s="8">
        <v>0.24199999999999999</v>
      </c>
      <c r="F75" s="8">
        <v>0.24299999999999999</v>
      </c>
      <c r="G75" s="8">
        <v>0.245</v>
      </c>
      <c r="H75" s="8">
        <v>0.247</v>
      </c>
      <c r="I75" s="86">
        <v>0.25</v>
      </c>
      <c r="J75" s="62">
        <v>0.253</v>
      </c>
      <c r="K75" s="62">
        <v>0.255</v>
      </c>
      <c r="L75" s="62">
        <v>0.25800000000000001</v>
      </c>
      <c r="M75" s="62">
        <v>0.25900000000000001</v>
      </c>
      <c r="N75" s="62">
        <v>0.26</v>
      </c>
      <c r="O75" s="28"/>
    </row>
    <row r="76" spans="2:15">
      <c r="B76" s="49" t="s">
        <v>102</v>
      </c>
      <c r="C76" s="18" t="s">
        <v>103</v>
      </c>
      <c r="D76" s="50">
        <f t="shared" ref="D76:N76" si="17">D35</f>
        <v>9.2492399999999986</v>
      </c>
      <c r="E76" s="50">
        <f t="shared" si="17"/>
        <v>9.3256800000000002</v>
      </c>
      <c r="F76" s="50">
        <f t="shared" si="17"/>
        <v>9.40212</v>
      </c>
      <c r="G76" s="50">
        <f t="shared" si="17"/>
        <v>9.4785599999999981</v>
      </c>
      <c r="H76" s="50">
        <f t="shared" si="17"/>
        <v>9.5549999999999997</v>
      </c>
      <c r="I76" s="50">
        <f t="shared" si="17"/>
        <v>9.6696600000000004</v>
      </c>
      <c r="J76" s="85">
        <f t="shared" si="17"/>
        <v>9.7460999999999984</v>
      </c>
      <c r="K76" s="85">
        <f t="shared" si="17"/>
        <v>9.82254</v>
      </c>
      <c r="L76" s="85">
        <f t="shared" si="17"/>
        <v>9.8607599999999991</v>
      </c>
      <c r="M76" s="85">
        <f t="shared" si="17"/>
        <v>9.9372000000000007</v>
      </c>
      <c r="N76" s="85">
        <f t="shared" si="17"/>
        <v>9.9372000000000007</v>
      </c>
      <c r="O76" s="28"/>
    </row>
    <row r="77" spans="2:15">
      <c r="B77" s="49" t="s">
        <v>104</v>
      </c>
      <c r="C77" s="18" t="s">
        <v>105</v>
      </c>
      <c r="D77" s="117">
        <f>D73*D76</f>
        <v>610.44983999999988</v>
      </c>
      <c r="E77" s="117">
        <f t="shared" ref="E77:N77" si="18">E73*E76</f>
        <v>615.49487999999997</v>
      </c>
      <c r="F77" s="117">
        <f t="shared" si="18"/>
        <v>620.53992000000005</v>
      </c>
      <c r="G77" s="117">
        <f t="shared" si="18"/>
        <v>625.58495999999991</v>
      </c>
      <c r="H77" s="117">
        <f t="shared" si="18"/>
        <v>630.63</v>
      </c>
      <c r="I77" s="117">
        <f t="shared" si="18"/>
        <v>638.19756000000007</v>
      </c>
      <c r="J77" s="116">
        <f t="shared" si="18"/>
        <v>643.24259999999992</v>
      </c>
      <c r="K77" s="116">
        <f t="shared" si="18"/>
        <v>648.28764000000001</v>
      </c>
      <c r="L77" s="116">
        <f t="shared" si="18"/>
        <v>650.81016</v>
      </c>
      <c r="M77" s="116">
        <f t="shared" si="18"/>
        <v>655.85520000000008</v>
      </c>
      <c r="N77" s="116">
        <f t="shared" si="18"/>
        <v>655.85520000000008</v>
      </c>
      <c r="O77" s="28"/>
    </row>
    <row r="78" spans="2:15">
      <c r="B78" s="49" t="s">
        <v>58</v>
      </c>
      <c r="C78" s="18" t="s">
        <v>27</v>
      </c>
      <c r="D78" s="8">
        <f>Inputs!$F$23</f>
        <v>4000000000</v>
      </c>
      <c r="E78" s="8">
        <f>Inputs!$F$23</f>
        <v>4000000000</v>
      </c>
      <c r="F78" s="8">
        <f>Inputs!$F$23</f>
        <v>4000000000</v>
      </c>
      <c r="G78" s="8">
        <f>Inputs!$F$23</f>
        <v>4000000000</v>
      </c>
      <c r="H78" s="8">
        <f>Inputs!$F$23</f>
        <v>4000000000</v>
      </c>
      <c r="I78" s="42">
        <f>Inputs!$F$23</f>
        <v>4000000000</v>
      </c>
      <c r="J78" s="62">
        <f>Inputs!$F$23</f>
        <v>4000000000</v>
      </c>
      <c r="K78" s="62">
        <f>Inputs!$F$23</f>
        <v>4000000000</v>
      </c>
      <c r="L78" s="62">
        <f>Inputs!$F$24</f>
        <v>6000000000</v>
      </c>
      <c r="M78" s="62">
        <f>Inputs!$F$24</f>
        <v>6000000000</v>
      </c>
      <c r="N78" s="62">
        <f>Inputs!$F$24</f>
        <v>6000000000</v>
      </c>
      <c r="O78" s="28"/>
    </row>
    <row r="79" spans="2:15">
      <c r="O79" s="28"/>
    </row>
    <row r="80" spans="2:15">
      <c r="B80" s="5" t="s">
        <v>95</v>
      </c>
      <c r="C80" s="3"/>
      <c r="D80" s="6">
        <v>2020</v>
      </c>
      <c r="E80" s="6">
        <v>2021</v>
      </c>
      <c r="F80" s="6">
        <v>2022</v>
      </c>
      <c r="G80" s="6">
        <v>2023</v>
      </c>
      <c r="H80" s="6">
        <v>2024</v>
      </c>
      <c r="I80" s="6">
        <v>2025</v>
      </c>
      <c r="J80" s="7">
        <v>2026</v>
      </c>
      <c r="K80" s="7">
        <v>2027</v>
      </c>
      <c r="L80" s="7">
        <v>2028</v>
      </c>
      <c r="M80" s="7">
        <v>2029</v>
      </c>
      <c r="N80" s="7">
        <v>2030</v>
      </c>
      <c r="O80" s="28"/>
    </row>
    <row r="81" spans="2:15">
      <c r="B81" s="17" t="s">
        <v>65</v>
      </c>
      <c r="C81" s="18" t="s">
        <v>76</v>
      </c>
      <c r="D81" s="52">
        <f>(((D78*0.9)*'Cost Model_Calculations'!$H$91)/'Cost Model_Calculations'!D78)*Assumptions!$D$47</f>
        <v>8.9877330000000012E-3</v>
      </c>
      <c r="E81" s="52">
        <f>(((E78*0.9)*'Cost Model_Calculations'!$H$91)/'Cost Model_Calculations'!E78)*Assumptions!$D$47</f>
        <v>8.9877330000000012E-3</v>
      </c>
      <c r="F81" s="52">
        <f>(((F78*0.9)*'Cost Model_Calculations'!$H$91)/'Cost Model_Calculations'!F78)*Assumptions!$D$47</f>
        <v>8.9877330000000012E-3</v>
      </c>
      <c r="G81" s="52">
        <f>(((G78*0.9)*'Cost Model_Calculations'!$H$91)/'Cost Model_Calculations'!G78)*Assumptions!$D$47</f>
        <v>8.9877330000000012E-3</v>
      </c>
      <c r="H81" s="52">
        <f>(((H78*0.9)*'Cost Model_Calculations'!H91)/'Cost Model_Calculations'!H78)*Assumptions!$D$47</f>
        <v>8.9877330000000012E-3</v>
      </c>
      <c r="I81" s="52">
        <f>(((I78*0.9)*'Cost Model_Calculations'!I91)/'Cost Model_Calculations'!I78)*Assumptions!$D$47</f>
        <v>8.7807330000000006E-3</v>
      </c>
      <c r="J81" s="124">
        <f>(((J78*0.9)*'Cost Model_Calculations'!J91)/'Cost Model_Calculations'!J78)*Assumptions!$D$47</f>
        <v>8.7714180000000013E-3</v>
      </c>
      <c r="K81" s="124">
        <f>(((K78*0.9)*'Cost Model_Calculations'!K91)/'Cost Model_Calculations'!K78)*Assumptions!$D$47</f>
        <v>8.7621029999999985E-3</v>
      </c>
      <c r="L81" s="124">
        <f>(((L78*0.9)*'Cost Model_Calculations'!L91)/'Cost Model_Calculations'!L78)*Assumptions!$D$47</f>
        <v>8.8769880000000006E-3</v>
      </c>
      <c r="M81" s="124">
        <f>(((M78*0.9)*'Cost Model_Calculations'!M91)/'Cost Model_Calculations'!M78)*Assumptions!$D$47</f>
        <v>8.8676729999999995E-3</v>
      </c>
      <c r="N81" s="124">
        <f>(((N78*0.9)*'Cost Model_Calculations'!N91)/'Cost Model_Calculations'!N78)*Assumptions!$D$47</f>
        <v>8.8583580000000019E-3</v>
      </c>
      <c r="O81" s="28"/>
    </row>
    <row r="82" spans="2:15">
      <c r="B82" s="17" t="s">
        <v>66</v>
      </c>
      <c r="C82" s="18" t="s">
        <v>76</v>
      </c>
      <c r="D82" s="52">
        <f>D72*Inputs!$F$28</f>
        <v>2.2499999999999998E-3</v>
      </c>
      <c r="E82" s="52">
        <f>E72*Inputs!$F$28</f>
        <v>2.2499999999999998E-3</v>
      </c>
      <c r="F82" s="52">
        <f>F72*Inputs!$F$28</f>
        <v>2.2499999999999998E-3</v>
      </c>
      <c r="G82" s="52">
        <f>G72*Inputs!$F$28</f>
        <v>2.2499999999999998E-3</v>
      </c>
      <c r="H82" s="52">
        <f>H72*Inputs!$F$28</f>
        <v>2.2499999999999998E-3</v>
      </c>
      <c r="I82" s="52">
        <f>I72*Inputs!$F$28</f>
        <v>2.2499999999999998E-3</v>
      </c>
      <c r="J82" s="124">
        <f>J72*Inputs!$F$28</f>
        <v>2.16E-3</v>
      </c>
      <c r="K82" s="124">
        <f>K72*Inputs!$F$28</f>
        <v>2.0699999999999998E-3</v>
      </c>
      <c r="L82" s="124">
        <f>L72*Inputs!$F$28</f>
        <v>1.98E-3</v>
      </c>
      <c r="M82" s="124">
        <f>M72*Inputs!$F$28</f>
        <v>1.89E-3</v>
      </c>
      <c r="N82" s="124">
        <f>N72*Inputs!$F$28</f>
        <v>1.8E-3</v>
      </c>
      <c r="O82" s="28"/>
    </row>
    <row r="83" spans="2:15">
      <c r="B83" s="17" t="s">
        <v>67</v>
      </c>
      <c r="C83" s="18" t="s">
        <v>76</v>
      </c>
      <c r="D83" s="52">
        <f>(Inputs!$F$32/Assumptions!$D$43)/1000</f>
        <v>1.5E-3</v>
      </c>
      <c r="E83" s="52">
        <f>(Inputs!$F$32/Assumptions!$D$43)/1000</f>
        <v>1.5E-3</v>
      </c>
      <c r="F83" s="52">
        <f>(Inputs!$F$32/Assumptions!$D$43)/1000</f>
        <v>1.5E-3</v>
      </c>
      <c r="G83" s="52">
        <f>(Inputs!$F$32/Assumptions!$D$43)/1000</f>
        <v>1.5E-3</v>
      </c>
      <c r="H83" s="52">
        <f>(Inputs!$F$32/Assumptions!$D$43)/1000</f>
        <v>1.5E-3</v>
      </c>
      <c r="I83" s="52">
        <f>(Inputs!$F$32/Assumptions!$D$43)/1000</f>
        <v>1.5E-3</v>
      </c>
      <c r="J83" s="124">
        <f>(Inputs!$F$32/Assumptions!$D$43)/1000</f>
        <v>1.5E-3</v>
      </c>
      <c r="K83" s="124">
        <f>(Inputs!$F$32/Assumptions!$D$43)/1000</f>
        <v>1.5E-3</v>
      </c>
      <c r="L83" s="124">
        <f>(Inputs!$F$32/Assumptions!$D$43)/1000</f>
        <v>1.5E-3</v>
      </c>
      <c r="M83" s="124">
        <f>(Inputs!$F$32/Assumptions!$D$43)/1000</f>
        <v>1.5E-3</v>
      </c>
      <c r="N83" s="124">
        <f>(Inputs!$F$32/Assumptions!$D$43)/1000</f>
        <v>1.5E-3</v>
      </c>
      <c r="O83" s="28"/>
    </row>
    <row r="84" spans="2:15">
      <c r="B84" s="17" t="s">
        <v>68</v>
      </c>
      <c r="C84" s="18" t="s">
        <v>76</v>
      </c>
      <c r="D84" s="52">
        <f>(Inputs!$F$27/Assumptions!$D$42)/1000</f>
        <v>4.0000000000000001E-3</v>
      </c>
      <c r="E84" s="52">
        <f>(Inputs!$F$27/Assumptions!$D$42)/1000</f>
        <v>4.0000000000000001E-3</v>
      </c>
      <c r="F84" s="52">
        <f>(Inputs!$F$27/Assumptions!$D$42)/1000</f>
        <v>4.0000000000000001E-3</v>
      </c>
      <c r="G84" s="52">
        <f>(Inputs!$F$27/Assumptions!$D$42)/1000</f>
        <v>4.0000000000000001E-3</v>
      </c>
      <c r="H84" s="52">
        <f>(Inputs!$F$27/Assumptions!$D$42)/1000</f>
        <v>4.0000000000000001E-3</v>
      </c>
      <c r="I84" s="52">
        <f>(Inputs!$F$27/Assumptions!$D$42)/1000</f>
        <v>4.0000000000000001E-3</v>
      </c>
      <c r="J84" s="124">
        <f>(Inputs!$F$27/Assumptions!$D$42)/1000</f>
        <v>4.0000000000000001E-3</v>
      </c>
      <c r="K84" s="124">
        <f>(Inputs!$F$27/Assumptions!$D$42)/1000</f>
        <v>4.0000000000000001E-3</v>
      </c>
      <c r="L84" s="124">
        <f>(Inputs!$F$27/Assumptions!$D$42)/1000</f>
        <v>4.0000000000000001E-3</v>
      </c>
      <c r="M84" s="124">
        <f>(Inputs!$F$27/Assumptions!$D$42)/1000</f>
        <v>4.0000000000000001E-3</v>
      </c>
      <c r="N84" s="124">
        <f>(Inputs!$F$27/Assumptions!$D$42)/1000</f>
        <v>4.0000000000000001E-3</v>
      </c>
      <c r="O84" s="28"/>
    </row>
    <row r="85" spans="2:15">
      <c r="B85" s="17" t="s">
        <v>69</v>
      </c>
      <c r="C85" s="18" t="s">
        <v>76</v>
      </c>
      <c r="D85" s="52">
        <f>Assumptions!$D$44/100*(Inputs!$F$27+Inputs!$F$32)/1000</f>
        <v>2E-3</v>
      </c>
      <c r="E85" s="52">
        <f>Assumptions!$D$44/100*(Inputs!$F$27+Inputs!$F$32)/1000</f>
        <v>2E-3</v>
      </c>
      <c r="F85" s="52">
        <f>Assumptions!$D$44/100*(Inputs!$F$27+Inputs!$F$32)/1000</f>
        <v>2E-3</v>
      </c>
      <c r="G85" s="52">
        <f>Assumptions!$D$44/100*(Inputs!$F$27+Inputs!$F$32)/1000</f>
        <v>2E-3</v>
      </c>
      <c r="H85" s="52">
        <f>Assumptions!$D$44/100*(Inputs!$F$27+Inputs!$F$32)/1000</f>
        <v>2E-3</v>
      </c>
      <c r="I85" s="52">
        <f>Assumptions!$D$44/100*(Inputs!$F$27+Inputs!$F$32)/1000</f>
        <v>2E-3</v>
      </c>
      <c r="J85" s="124">
        <f>Assumptions!$D$44/100*(Inputs!$F$27+Inputs!$F$32)/1000</f>
        <v>2E-3</v>
      </c>
      <c r="K85" s="124">
        <f>Assumptions!$D$44/100*(Inputs!$F$27+Inputs!$F$32)/1000</f>
        <v>2E-3</v>
      </c>
      <c r="L85" s="124">
        <f>Assumptions!$D$44/100*(Inputs!$F$27+Inputs!$F$32)/1000</f>
        <v>2E-3</v>
      </c>
      <c r="M85" s="124">
        <f>Assumptions!$D$44/100*(Inputs!$F$27+Inputs!$F$32)/1000</f>
        <v>2E-3</v>
      </c>
      <c r="N85" s="124">
        <f>Assumptions!$D$44/100*(Inputs!$F$27+Inputs!$F$32)/1000</f>
        <v>2E-3</v>
      </c>
      <c r="O85" s="28"/>
    </row>
    <row r="86" spans="2:15">
      <c r="B86" s="17" t="s">
        <v>70</v>
      </c>
      <c r="C86" s="18" t="s">
        <v>76</v>
      </c>
      <c r="D86" s="43">
        <f>Inputs!$F$29*Assumptions!$D$48</f>
        <v>1.7687999999999999E-2</v>
      </c>
      <c r="E86" s="43">
        <f>Inputs!$F$29*Assumptions!$D$48</f>
        <v>1.7687999999999999E-2</v>
      </c>
      <c r="F86" s="43">
        <f>Inputs!$F$29*Assumptions!$D$48</f>
        <v>1.7687999999999999E-2</v>
      </c>
      <c r="G86" s="43">
        <f>Inputs!$F$29*Assumptions!$D$48</f>
        <v>1.7687999999999999E-2</v>
      </c>
      <c r="H86" s="43">
        <f>Inputs!$F$29*Assumptions!$D$48</f>
        <v>1.7687999999999999E-2</v>
      </c>
      <c r="I86" s="43">
        <f>Inputs!$F$29*Assumptions!$D$48</f>
        <v>1.7687999999999999E-2</v>
      </c>
      <c r="J86" s="74">
        <f>Inputs!$F$29*Assumptions!$D$48</f>
        <v>1.7687999999999999E-2</v>
      </c>
      <c r="K86" s="74">
        <f>Inputs!$F$29*Assumptions!$D$48</f>
        <v>1.7687999999999999E-2</v>
      </c>
      <c r="L86" s="74">
        <f>Inputs!$F$29*Assumptions!$D$48</f>
        <v>1.7687999999999999E-2</v>
      </c>
      <c r="M86" s="74">
        <f>Inputs!$F$29*Assumptions!$D$48</f>
        <v>1.7687999999999999E-2</v>
      </c>
      <c r="N86" s="74">
        <f>Inputs!$F$29*Assumptions!$D$48</f>
        <v>1.7687999999999999E-2</v>
      </c>
      <c r="O86" s="28"/>
    </row>
    <row r="87" spans="2:15">
      <c r="B87" s="17" t="s">
        <v>63</v>
      </c>
      <c r="C87" s="18" t="s">
        <v>76</v>
      </c>
      <c r="D87" s="8">
        <f>Assumptions!$D$46</f>
        <v>5.7000000000000002E-2</v>
      </c>
      <c r="E87" s="8">
        <f>Assumptions!$D$46</f>
        <v>5.7000000000000002E-2</v>
      </c>
      <c r="F87" s="8">
        <f>Assumptions!$D$46</f>
        <v>5.7000000000000002E-2</v>
      </c>
      <c r="G87" s="8">
        <f>Assumptions!$D$46</f>
        <v>5.7000000000000002E-2</v>
      </c>
      <c r="H87" s="8">
        <f>Assumptions!$D$46</f>
        <v>5.7000000000000002E-2</v>
      </c>
      <c r="I87" s="8">
        <v>5.5E-2</v>
      </c>
      <c r="J87" s="58">
        <v>5.5E-2</v>
      </c>
      <c r="K87" s="58">
        <v>5.5E-2</v>
      </c>
      <c r="L87" s="58">
        <v>5.5E-2</v>
      </c>
      <c r="M87" s="58">
        <v>5.5E-2</v>
      </c>
      <c r="N87" s="58">
        <v>5.5E-2</v>
      </c>
      <c r="O87" s="28"/>
    </row>
    <row r="88" spans="2:15" ht="15.5" thickBot="1">
      <c r="B88" s="39" t="s">
        <v>106</v>
      </c>
      <c r="C88" s="40" t="s">
        <v>76</v>
      </c>
      <c r="D88" s="46">
        <f>(Assumptions!$D$49*'Cost Model_Calculations'!D78)/1000000000</f>
        <v>2.3999999999999998E-3</v>
      </c>
      <c r="E88" s="118">
        <f>(Assumptions!$D$49*'Cost Model_Calculations'!E78)/1000000000</f>
        <v>2.3999999999999998E-3</v>
      </c>
      <c r="F88" s="118">
        <f>(Assumptions!$D$49*'Cost Model_Calculations'!F78)/1000000000</f>
        <v>2.3999999999999998E-3</v>
      </c>
      <c r="G88" s="118">
        <f>(Assumptions!$D$49*'Cost Model_Calculations'!G78)/1000000000</f>
        <v>2.3999999999999998E-3</v>
      </c>
      <c r="H88" s="118">
        <f>(Assumptions!$D$49*'Cost Model_Calculations'!H78)/1000000000</f>
        <v>2.3999999999999998E-3</v>
      </c>
      <c r="I88" s="118">
        <f>(Assumptions!$D$49*'Cost Model_Calculations'!I78)/1000000000</f>
        <v>2.3999999999999998E-3</v>
      </c>
      <c r="J88" s="119">
        <f>(Assumptions!$D$49*'Cost Model_Calculations'!J78)/1000000000</f>
        <v>2.3999999999999998E-3</v>
      </c>
      <c r="K88" s="119">
        <f>(Assumptions!$D$49*'Cost Model_Calculations'!K78)/1000000000</f>
        <v>2.3999999999999998E-3</v>
      </c>
      <c r="L88" s="119">
        <f>(Assumptions!$D$49*'Cost Model_Calculations'!L78)/1000000000</f>
        <v>3.5999999999999995E-3</v>
      </c>
      <c r="M88" s="119">
        <f>(Assumptions!$D$49*'Cost Model_Calculations'!M78)/1000000000</f>
        <v>3.5999999999999995E-3</v>
      </c>
      <c r="N88" s="119">
        <f>(Assumptions!$D$49*'Cost Model_Calculations'!N78)/1000000000</f>
        <v>3.5999999999999995E-3</v>
      </c>
      <c r="O88" s="28"/>
    </row>
    <row r="89" spans="2:15">
      <c r="B89" s="37" t="s">
        <v>87</v>
      </c>
      <c r="C89" s="171" t="s">
        <v>76</v>
      </c>
      <c r="D89" s="55">
        <f>SUM(D82:D88)</f>
        <v>8.6837999999999999E-2</v>
      </c>
      <c r="E89" s="55">
        <f>SUM(E82:E88)</f>
        <v>8.6837999999999999E-2</v>
      </c>
      <c r="F89" s="55">
        <f>SUM(F82:F88)</f>
        <v>8.6837999999999999E-2</v>
      </c>
      <c r="G89" s="55">
        <f>SUM(G82:G88)</f>
        <v>8.6837999999999999E-2</v>
      </c>
      <c r="H89" s="55">
        <f t="shared" ref="H89:N89" si="19">SUM(H82:H88)</f>
        <v>8.6837999999999999E-2</v>
      </c>
      <c r="I89" s="55">
        <f t="shared" si="19"/>
        <v>8.4837999999999997E-2</v>
      </c>
      <c r="J89" s="84">
        <f t="shared" si="19"/>
        <v>8.4748000000000004E-2</v>
      </c>
      <c r="K89" s="84">
        <f t="shared" si="19"/>
        <v>8.4657999999999997E-2</v>
      </c>
      <c r="L89" s="84">
        <f t="shared" si="19"/>
        <v>8.5767999999999997E-2</v>
      </c>
      <c r="M89" s="84">
        <f t="shared" si="19"/>
        <v>8.5678000000000004E-2</v>
      </c>
      <c r="N89" s="84">
        <f t="shared" si="19"/>
        <v>8.5588000000000011E-2</v>
      </c>
      <c r="O89" s="28"/>
    </row>
    <row r="90" spans="2:15">
      <c r="B90" s="33" t="s">
        <v>73</v>
      </c>
      <c r="C90" s="171" t="s">
        <v>76</v>
      </c>
      <c r="D90" s="56">
        <f>D89*0.15</f>
        <v>1.3025699999999999E-2</v>
      </c>
      <c r="E90" s="56">
        <f>E89*0.15</f>
        <v>1.3025699999999999E-2</v>
      </c>
      <c r="F90" s="56">
        <f>F89*0.15</f>
        <v>1.3025699999999999E-2</v>
      </c>
      <c r="G90" s="56">
        <f>G89*0.15</f>
        <v>1.3025699999999999E-2</v>
      </c>
      <c r="H90" s="56">
        <f>H89*0.15</f>
        <v>1.3025699999999999E-2</v>
      </c>
      <c r="I90" s="56">
        <f t="shared" ref="I90:N90" si="20">I89*0.15</f>
        <v>1.27257E-2</v>
      </c>
      <c r="J90" s="85">
        <f t="shared" si="20"/>
        <v>1.27122E-2</v>
      </c>
      <c r="K90" s="85">
        <f t="shared" si="20"/>
        <v>1.2698699999999999E-2</v>
      </c>
      <c r="L90" s="85">
        <f t="shared" si="20"/>
        <v>1.2865199999999999E-2</v>
      </c>
      <c r="M90" s="85">
        <f t="shared" si="20"/>
        <v>1.2851700000000001E-2</v>
      </c>
      <c r="N90" s="85">
        <f t="shared" si="20"/>
        <v>1.2838200000000001E-2</v>
      </c>
      <c r="O90" s="28"/>
    </row>
    <row r="91" spans="2:15">
      <c r="B91" s="37" t="s">
        <v>74</v>
      </c>
      <c r="C91" s="171" t="s">
        <v>76</v>
      </c>
      <c r="D91" s="56">
        <f t="shared" ref="D91:I91" si="21">D89+D90</f>
        <v>9.98637E-2</v>
      </c>
      <c r="E91" s="56">
        <f t="shared" si="21"/>
        <v>9.98637E-2</v>
      </c>
      <c r="F91" s="56">
        <f t="shared" si="21"/>
        <v>9.98637E-2</v>
      </c>
      <c r="G91" s="56">
        <f t="shared" si="21"/>
        <v>9.98637E-2</v>
      </c>
      <c r="H91" s="56">
        <f t="shared" si="21"/>
        <v>9.98637E-2</v>
      </c>
      <c r="I91" s="56">
        <f t="shared" si="21"/>
        <v>9.7563700000000003E-2</v>
      </c>
      <c r="J91" s="85">
        <f t="shared" ref="J91:N91" si="22">J89+J90</f>
        <v>9.7460199999999997E-2</v>
      </c>
      <c r="K91" s="85">
        <f t="shared" si="22"/>
        <v>9.735669999999999E-2</v>
      </c>
      <c r="L91" s="85">
        <f t="shared" si="22"/>
        <v>9.863319999999999E-2</v>
      </c>
      <c r="M91" s="85">
        <f t="shared" si="22"/>
        <v>9.8529699999999998E-2</v>
      </c>
      <c r="N91" s="85">
        <f t="shared" si="22"/>
        <v>9.8426200000000019E-2</v>
      </c>
      <c r="O91" s="28"/>
    </row>
    <row r="92" spans="2:15">
      <c r="B92" s="45" t="s">
        <v>75</v>
      </c>
      <c r="C92" s="174" t="s">
        <v>76</v>
      </c>
      <c r="D92" s="163">
        <f>D91+D81</f>
        <v>0.108851433</v>
      </c>
      <c r="E92" s="163">
        <f>E91+E81</f>
        <v>0.108851433</v>
      </c>
      <c r="F92" s="163">
        <f>F91+F81</f>
        <v>0.108851433</v>
      </c>
      <c r="G92" s="163">
        <f>G91+G81</f>
        <v>0.108851433</v>
      </c>
      <c r="H92" s="163">
        <f t="shared" ref="H92:N92" si="23">H91+H81</f>
        <v>0.108851433</v>
      </c>
      <c r="I92" s="163">
        <f t="shared" si="23"/>
        <v>0.106344433</v>
      </c>
      <c r="J92" s="164">
        <f t="shared" si="23"/>
        <v>0.106231618</v>
      </c>
      <c r="K92" s="164">
        <f t="shared" si="23"/>
        <v>0.10611880299999998</v>
      </c>
      <c r="L92" s="164">
        <f t="shared" si="23"/>
        <v>0.10751018799999999</v>
      </c>
      <c r="M92" s="164">
        <f t="shared" si="23"/>
        <v>0.10739737299999999</v>
      </c>
      <c r="N92" s="164">
        <f t="shared" si="23"/>
        <v>0.10728455800000002</v>
      </c>
      <c r="O92" s="28"/>
    </row>
    <row r="93" spans="2:15">
      <c r="B93" s="32"/>
      <c r="C93" s="32"/>
      <c r="D93" s="32"/>
      <c r="E93" s="32"/>
      <c r="F93" s="32"/>
      <c r="G93" s="32"/>
      <c r="H93" s="32"/>
      <c r="I93" s="32"/>
      <c r="J93" s="32"/>
      <c r="K93" s="3"/>
      <c r="L93" s="3"/>
      <c r="M93" s="3"/>
      <c r="N93" s="3"/>
      <c r="O93" s="28"/>
    </row>
    <row r="94" spans="2:15">
      <c r="B94" s="5" t="s">
        <v>107</v>
      </c>
      <c r="C94" s="3"/>
      <c r="D94" s="177">
        <v>2020</v>
      </c>
      <c r="E94" s="6">
        <v>2021</v>
      </c>
      <c r="F94" s="177">
        <v>2022</v>
      </c>
      <c r="G94" s="6">
        <v>2023</v>
      </c>
      <c r="H94" s="6">
        <v>2024</v>
      </c>
      <c r="I94" s="6">
        <v>2025</v>
      </c>
      <c r="J94" s="7">
        <v>2026</v>
      </c>
      <c r="K94" s="7">
        <v>2027</v>
      </c>
      <c r="L94" s="7">
        <v>2028</v>
      </c>
      <c r="M94" s="7">
        <v>2029</v>
      </c>
      <c r="N94" s="7">
        <v>2030</v>
      </c>
      <c r="O94" s="28"/>
    </row>
    <row r="95" spans="2:15">
      <c r="B95" s="47" t="s">
        <v>108</v>
      </c>
      <c r="C95" s="176" t="s">
        <v>76</v>
      </c>
      <c r="D95" s="44">
        <f>D26+D48+D69+D92-D88</f>
        <v>0.26992835093549589</v>
      </c>
      <c r="E95" s="50">
        <f>E26+E48+E69+E92-E88</f>
        <v>0.26952535661156418</v>
      </c>
      <c r="F95" s="50">
        <f>F26+F48+F69+F92-F88</f>
        <v>0.26812769138233056</v>
      </c>
      <c r="G95" s="50">
        <f>G26+G48+G69+G92-G88</f>
        <v>0.2652135909148588</v>
      </c>
      <c r="H95" s="50">
        <f t="shared" ref="H95:N95" si="24">H26+H48+H69+H92-H88</f>
        <v>0.25926121658171114</v>
      </c>
      <c r="I95" s="50">
        <f t="shared" si="24"/>
        <v>0.25397789922252267</v>
      </c>
      <c r="J95" s="168">
        <f t="shared" si="24"/>
        <v>0.24977243203661975</v>
      </c>
      <c r="K95" s="168">
        <f t="shared" si="24"/>
        <v>0.24890179891643499</v>
      </c>
      <c r="L95" s="168">
        <f t="shared" si="24"/>
        <v>0.24728187148013125</v>
      </c>
      <c r="M95" s="168">
        <f t="shared" si="24"/>
        <v>0.24477658277724107</v>
      </c>
      <c r="N95" s="168">
        <f t="shared" si="24"/>
        <v>0.24250746517588556</v>
      </c>
      <c r="O95" s="28"/>
    </row>
    <row r="96" spans="2:15">
      <c r="B96" s="47" t="s">
        <v>109</v>
      </c>
      <c r="C96" s="176" t="s">
        <v>76</v>
      </c>
      <c r="D96" s="44">
        <f t="shared" ref="D96:I96" si="25">D26+D48+D69+D92</f>
        <v>0.2723283509354959</v>
      </c>
      <c r="E96" s="50">
        <f t="shared" si="25"/>
        <v>0.2719253566115642</v>
      </c>
      <c r="F96" s="50">
        <f t="shared" si="25"/>
        <v>0.27052769138233057</v>
      </c>
      <c r="G96" s="50">
        <f t="shared" si="25"/>
        <v>0.26761359091485881</v>
      </c>
      <c r="H96" s="50">
        <f t="shared" si="25"/>
        <v>0.26166121658171115</v>
      </c>
      <c r="I96" s="50">
        <f t="shared" si="25"/>
        <v>0.25637789922252269</v>
      </c>
      <c r="J96" s="168">
        <f t="shared" ref="J96:N96" si="26">J26+J48+J69+J92</f>
        <v>0.25217243203661976</v>
      </c>
      <c r="K96" s="168">
        <f t="shared" si="26"/>
        <v>0.251301798916435</v>
      </c>
      <c r="L96" s="168">
        <f t="shared" si="26"/>
        <v>0.25088187148013125</v>
      </c>
      <c r="M96" s="168">
        <f t="shared" si="26"/>
        <v>0.24837658277724106</v>
      </c>
      <c r="N96" s="168">
        <f t="shared" si="26"/>
        <v>0.24610746517588555</v>
      </c>
      <c r="O96" s="28"/>
    </row>
    <row r="97" spans="1:15">
      <c r="A97" s="13"/>
      <c r="B97" s="13"/>
      <c r="C97" s="82"/>
      <c r="D97" s="82"/>
      <c r="E97" s="82"/>
      <c r="F97" s="82"/>
      <c r="G97" s="82"/>
      <c r="H97" s="82"/>
      <c r="I97" s="82"/>
      <c r="J97" s="82"/>
      <c r="K97" s="82"/>
      <c r="L97" s="82"/>
      <c r="M97" s="82"/>
      <c r="N97" s="82"/>
      <c r="O97" s="30"/>
    </row>
    <row r="98" spans="1:15">
      <c r="C98" s="3"/>
      <c r="D98" s="3"/>
      <c r="E98" s="3"/>
      <c r="F98" s="3"/>
      <c r="G98" s="3"/>
      <c r="H98" s="3"/>
      <c r="I98" s="3"/>
      <c r="J98" s="3"/>
      <c r="K98" s="3"/>
      <c r="L98" s="3"/>
      <c r="M98" s="3"/>
      <c r="N98" s="3"/>
    </row>
    <row r="99" spans="1:15">
      <c r="A99" s="13"/>
      <c r="B99" s="48" t="s">
        <v>4</v>
      </c>
      <c r="C99" s="88" t="s">
        <v>110</v>
      </c>
      <c r="D99" s="82"/>
      <c r="E99" s="87"/>
      <c r="F99" s="82"/>
      <c r="G99" s="82"/>
      <c r="H99" s="82"/>
      <c r="I99" s="82"/>
      <c r="J99" s="82"/>
      <c r="K99" s="82"/>
      <c r="L99" s="82"/>
      <c r="M99" s="82"/>
      <c r="N99" s="82"/>
      <c r="O99" s="13"/>
    </row>
    <row r="100" spans="1:15">
      <c r="C100" s="3"/>
      <c r="D100" s="3"/>
      <c r="E100" s="3"/>
      <c r="F100" s="3"/>
      <c r="G100" s="3"/>
      <c r="H100" s="3"/>
      <c r="I100" s="3"/>
      <c r="J100" s="3"/>
      <c r="K100" s="3"/>
      <c r="L100" s="3"/>
      <c r="M100" s="3"/>
      <c r="N100" s="3"/>
      <c r="O100" s="27"/>
    </row>
    <row r="101" spans="1:15">
      <c r="B101" s="5" t="s">
        <v>54</v>
      </c>
      <c r="C101" s="3"/>
      <c r="D101" s="6">
        <v>2020</v>
      </c>
      <c r="E101" s="6">
        <v>2021</v>
      </c>
      <c r="F101" s="6">
        <v>2022</v>
      </c>
      <c r="G101" s="6">
        <v>2023</v>
      </c>
      <c r="H101" s="6">
        <v>2024</v>
      </c>
      <c r="I101" s="6">
        <v>2025</v>
      </c>
      <c r="J101" s="7">
        <v>2026</v>
      </c>
      <c r="K101" s="7">
        <v>2027</v>
      </c>
      <c r="L101" s="7">
        <v>2028</v>
      </c>
      <c r="M101" s="7">
        <v>2029</v>
      </c>
      <c r="N101" s="7">
        <v>2030</v>
      </c>
      <c r="O101" s="144"/>
    </row>
    <row r="102" spans="1:15">
      <c r="B102" s="17" t="s">
        <v>55</v>
      </c>
      <c r="C102" s="18" t="s">
        <v>56</v>
      </c>
      <c r="D102" s="8">
        <v>80</v>
      </c>
      <c r="E102" s="8">
        <v>60</v>
      </c>
      <c r="F102" s="8">
        <v>55</v>
      </c>
      <c r="G102" s="8">
        <v>50</v>
      </c>
      <c r="H102" s="8">
        <v>45</v>
      </c>
      <c r="I102" s="8">
        <v>40</v>
      </c>
      <c r="J102" s="62">
        <v>39</v>
      </c>
      <c r="K102" s="62">
        <v>38.5</v>
      </c>
      <c r="L102" s="62">
        <v>38</v>
      </c>
      <c r="M102" s="62">
        <v>38</v>
      </c>
      <c r="N102" s="62">
        <v>37.799999999999997</v>
      </c>
      <c r="O102" s="144"/>
    </row>
    <row r="103" spans="1:15">
      <c r="B103" s="17" t="s">
        <v>57</v>
      </c>
      <c r="C103" s="18" t="s">
        <v>22</v>
      </c>
      <c r="D103" s="8">
        <v>1.6</v>
      </c>
      <c r="E103" s="8">
        <v>3</v>
      </c>
      <c r="F103" s="8">
        <v>3</v>
      </c>
      <c r="G103" s="8">
        <v>2.5</v>
      </c>
      <c r="H103" s="8">
        <v>1.7</v>
      </c>
      <c r="I103" s="8">
        <v>1.7</v>
      </c>
      <c r="J103" s="62">
        <v>1.7</v>
      </c>
      <c r="K103" s="62">
        <v>1.7</v>
      </c>
      <c r="L103" s="62">
        <v>1.7</v>
      </c>
      <c r="M103" s="62">
        <v>1.7</v>
      </c>
      <c r="N103" s="62">
        <v>1.7</v>
      </c>
      <c r="O103" s="145"/>
    </row>
    <row r="104" spans="1:15">
      <c r="B104" s="17" t="s">
        <v>58</v>
      </c>
      <c r="C104" s="18" t="s">
        <v>15</v>
      </c>
      <c r="D104" s="8">
        <f>Inputs!$F$11</f>
        <v>50000</v>
      </c>
      <c r="E104" s="8">
        <f>Inputs!$F$11</f>
        <v>50000</v>
      </c>
      <c r="F104" s="8">
        <f>Inputs!$F$11</f>
        <v>50000</v>
      </c>
      <c r="G104" s="8">
        <f>Inputs!$F$11</f>
        <v>50000</v>
      </c>
      <c r="H104" s="8">
        <f>Inputs!$F$11</f>
        <v>50000</v>
      </c>
      <c r="I104" s="8">
        <f>Inputs!$F$11</f>
        <v>50000</v>
      </c>
      <c r="J104" s="62">
        <f>Inputs!$F$11</f>
        <v>50000</v>
      </c>
      <c r="K104" s="62">
        <f>Inputs!$F$11</f>
        <v>50000</v>
      </c>
      <c r="L104" s="62">
        <f>Inputs!$F$12</f>
        <v>70000</v>
      </c>
      <c r="M104" s="62">
        <f>Inputs!$F$12</f>
        <v>70000</v>
      </c>
      <c r="N104" s="62">
        <f>Inputs!$F$12</f>
        <v>70000</v>
      </c>
      <c r="O104" s="145"/>
    </row>
    <row r="105" spans="1:15">
      <c r="B105" s="49" t="s">
        <v>59</v>
      </c>
      <c r="C105" s="18" t="s">
        <v>60</v>
      </c>
      <c r="D105" s="8">
        <f>Assumptions!$D$11</f>
        <v>1.26</v>
      </c>
      <c r="E105" s="8">
        <f>Assumptions!$D$11</f>
        <v>1.26</v>
      </c>
      <c r="F105" s="8">
        <f>Assumptions!$D$11</f>
        <v>1.26</v>
      </c>
      <c r="G105" s="8">
        <f>Assumptions!$D$11</f>
        <v>1.26</v>
      </c>
      <c r="H105" s="8">
        <f>Assumptions!$D$11</f>
        <v>1.26</v>
      </c>
      <c r="I105" s="8">
        <f>Assumptions!$D$11</f>
        <v>1.26</v>
      </c>
      <c r="J105" s="62">
        <f>Assumptions!$D$11</f>
        <v>1.26</v>
      </c>
      <c r="K105" s="62">
        <f>Assumptions!$D$11</f>
        <v>1.26</v>
      </c>
      <c r="L105" s="62">
        <v>1.2</v>
      </c>
      <c r="M105" s="62">
        <v>1.19</v>
      </c>
      <c r="N105" s="62">
        <v>1.18</v>
      </c>
      <c r="O105" s="145"/>
    </row>
    <row r="106" spans="1:15">
      <c r="B106" s="49" t="s">
        <v>61</v>
      </c>
      <c r="C106" s="18" t="s">
        <v>62</v>
      </c>
      <c r="D106" s="8">
        <f>Assumptions!$E$12</f>
        <v>1.9</v>
      </c>
      <c r="E106" s="8">
        <f>Assumptions!$E$12</f>
        <v>1.9</v>
      </c>
      <c r="F106" s="8">
        <f>Assumptions!$E$12</f>
        <v>1.9</v>
      </c>
      <c r="G106" s="8">
        <f>Assumptions!$E$12</f>
        <v>1.9</v>
      </c>
      <c r="H106" s="8">
        <f>Assumptions!$E$12</f>
        <v>1.9</v>
      </c>
      <c r="I106" s="8">
        <f>Assumptions!$E$12</f>
        <v>1.9</v>
      </c>
      <c r="J106" s="58">
        <f>Assumptions!$E$12</f>
        <v>1.9</v>
      </c>
      <c r="K106" s="58">
        <f>Assumptions!$E$12</f>
        <v>1.9</v>
      </c>
      <c r="L106" s="58">
        <f>Assumptions!$E$12</f>
        <v>1.9</v>
      </c>
      <c r="M106" s="58">
        <f>Assumptions!$E$12</f>
        <v>1.9</v>
      </c>
      <c r="N106" s="58">
        <f>Assumptions!$E$12</f>
        <v>1.9</v>
      </c>
      <c r="O106" s="145"/>
    </row>
    <row r="107" spans="1:15">
      <c r="B107" s="49" t="s">
        <v>63</v>
      </c>
      <c r="C107" s="18" t="s">
        <v>22</v>
      </c>
      <c r="D107" s="8">
        <v>1.2</v>
      </c>
      <c r="E107" s="8">
        <v>1.2</v>
      </c>
      <c r="F107" s="8">
        <v>1.2</v>
      </c>
      <c r="G107" s="8">
        <v>1.2</v>
      </c>
      <c r="H107" s="8">
        <v>1.2</v>
      </c>
      <c r="I107" s="8">
        <v>1.2</v>
      </c>
      <c r="J107" s="58">
        <v>1.2</v>
      </c>
      <c r="K107" s="58">
        <v>1.2</v>
      </c>
      <c r="L107" s="58">
        <v>1.2</v>
      </c>
      <c r="M107" s="58">
        <v>1.2</v>
      </c>
      <c r="N107" s="58">
        <v>1.2</v>
      </c>
      <c r="O107" s="145"/>
    </row>
    <row r="108" spans="1:15">
      <c r="C108" s="3"/>
      <c r="D108" s="3"/>
      <c r="E108" s="3"/>
      <c r="F108" s="3"/>
      <c r="G108" s="3"/>
      <c r="H108" s="3"/>
      <c r="I108" s="3"/>
      <c r="J108" s="3"/>
      <c r="K108" s="3"/>
      <c r="L108" s="3"/>
      <c r="M108" s="3"/>
      <c r="N108" s="3"/>
      <c r="O108" s="145"/>
    </row>
    <row r="109" spans="1:15">
      <c r="B109" s="5" t="s">
        <v>64</v>
      </c>
      <c r="C109" s="3"/>
      <c r="D109" s="6">
        <v>2020</v>
      </c>
      <c r="E109" s="6">
        <v>2021</v>
      </c>
      <c r="F109" s="6">
        <v>2022</v>
      </c>
      <c r="G109" s="6">
        <v>2023</v>
      </c>
      <c r="H109" s="6">
        <v>2024</v>
      </c>
      <c r="I109" s="6">
        <v>2025</v>
      </c>
      <c r="J109" s="7">
        <v>2026</v>
      </c>
      <c r="K109" s="7">
        <v>2027</v>
      </c>
      <c r="L109" s="7">
        <v>2028</v>
      </c>
      <c r="M109" s="7">
        <v>2029</v>
      </c>
      <c r="N109" s="7">
        <v>2030</v>
      </c>
      <c r="O109" s="145"/>
    </row>
    <row r="110" spans="1:15">
      <c r="B110" s="17" t="s">
        <v>65</v>
      </c>
      <c r="C110" s="18" t="s">
        <v>22</v>
      </c>
      <c r="D110" s="57">
        <f>(((D104*0.9)*'Cost Model_Calculations'!$H$24)/'Cost Model_Calculations'!D104)*Assumptions!$E$13</f>
        <v>1.2657015</v>
      </c>
      <c r="E110" s="57">
        <f>(((E104*0.9)*'Cost Model_Calculations'!$H$24)/'Cost Model_Calculations'!E104)*Assumptions!$E$13</f>
        <v>1.2657015</v>
      </c>
      <c r="F110" s="57">
        <f>(((F104*0.9)*'Cost Model_Calculations'!$H$24)/'Cost Model_Calculations'!F104)*Assumptions!$E$13</f>
        <v>1.2657015</v>
      </c>
      <c r="G110" s="57">
        <f>(((G104*0.9)*'Cost Model_Calculations'!$H$24)/'Cost Model_Calculations'!G104)*Assumptions!$E$13</f>
        <v>1.2657015</v>
      </c>
      <c r="H110" s="57">
        <f>(((H104*0.9)*H120)/'Cost Model_Calculations'!H104)*Assumptions!$E$13</f>
        <v>1.2657015</v>
      </c>
      <c r="I110" s="86">
        <f>(((I104*0.9)*I120)/'Cost Model_Calculations'!I104)*Assumptions!$E$13</f>
        <v>1.2191264999999998</v>
      </c>
      <c r="J110" s="62">
        <f>(((J104*0.9)*J120)/'Cost Model_Calculations'!J104)*Assumptions!$E$13</f>
        <v>1.2098114999999998</v>
      </c>
      <c r="K110" s="62">
        <f>(((K104*0.9)*K120)/'Cost Model_Calculations'!K104)*Assumptions!$E$13</f>
        <v>1.2051539999999998</v>
      </c>
      <c r="L110" s="62">
        <f>(((L104*0.9)*L120)/'Cost Model_Calculations'!L104)*Assumptions!$E$13</f>
        <v>1.1899395000000001</v>
      </c>
      <c r="M110" s="62">
        <f>(((M104*0.9)*M120)/'Cost Model_Calculations'!M104)*Assumptions!$E$13</f>
        <v>1.1881799999999998</v>
      </c>
      <c r="N110" s="62">
        <f>(((N104*0.9)*N120)/'Cost Model_Calculations'!N104)*Assumptions!$E$13</f>
        <v>1.1845575000000002</v>
      </c>
      <c r="O110" s="28"/>
    </row>
    <row r="111" spans="1:15">
      <c r="B111" s="17" t="s">
        <v>66</v>
      </c>
      <c r="C111" s="18" t="s">
        <v>22</v>
      </c>
      <c r="D111" s="8">
        <f>D102*Inputs!$F$43</f>
        <v>7.1999999999999993</v>
      </c>
      <c r="E111" s="8">
        <f>E102*Inputs!$F$43</f>
        <v>5.3999999999999995</v>
      </c>
      <c r="F111" s="8">
        <f>F102*Inputs!$F$43</f>
        <v>4.95</v>
      </c>
      <c r="G111" s="8">
        <f>G102*Inputs!$F$43</f>
        <v>4.5</v>
      </c>
      <c r="H111" s="8">
        <f>H102*Inputs!$F$43</f>
        <v>4.05</v>
      </c>
      <c r="I111" s="57">
        <f>I102*Inputs!$F$43</f>
        <v>3.5999999999999996</v>
      </c>
      <c r="J111" s="78">
        <f>J102*Inputs!$F$43</f>
        <v>3.51</v>
      </c>
      <c r="K111" s="78">
        <f>K102*Inputs!$F$43</f>
        <v>3.4649999999999999</v>
      </c>
      <c r="L111" s="78">
        <f>L102*Inputs!$F$43</f>
        <v>3.42</v>
      </c>
      <c r="M111" s="78">
        <f>M102*Inputs!$F$43</f>
        <v>3.42</v>
      </c>
      <c r="N111" s="78">
        <f>N102*Inputs!$F$43</f>
        <v>3.4019999999999997</v>
      </c>
      <c r="O111" s="28"/>
    </row>
    <row r="112" spans="1:15">
      <c r="B112" s="17" t="s">
        <v>67</v>
      </c>
      <c r="C112" s="18" t="s">
        <v>22</v>
      </c>
      <c r="D112" s="8">
        <f>Inputs!$F$46/Assumptions!$E$7</f>
        <v>0.35</v>
      </c>
      <c r="E112" s="8">
        <f>Inputs!$F$46/Assumptions!$E$7</f>
        <v>0.35</v>
      </c>
      <c r="F112" s="8">
        <f>Inputs!$F$46/Assumptions!$E$7</f>
        <v>0.35</v>
      </c>
      <c r="G112" s="8">
        <f>Inputs!$F$46/Assumptions!$E$7</f>
        <v>0.35</v>
      </c>
      <c r="H112" s="8">
        <f>Inputs!$F$46/Assumptions!$E$7</f>
        <v>0.35</v>
      </c>
      <c r="I112" s="8">
        <f>Inputs!$F$46/Assumptions!$E$7</f>
        <v>0.35</v>
      </c>
      <c r="J112" s="58">
        <f>Inputs!$F$46/Assumptions!$E$7</f>
        <v>0.35</v>
      </c>
      <c r="K112" s="58">
        <f>Inputs!$F$46/Assumptions!$E$7</f>
        <v>0.35</v>
      </c>
      <c r="L112" s="58">
        <f>Inputs!$F$46/Assumptions!$E$7</f>
        <v>0.35</v>
      </c>
      <c r="M112" s="58">
        <f>Inputs!$F$46/Assumptions!$E$7</f>
        <v>0.35</v>
      </c>
      <c r="N112" s="58">
        <f>Inputs!$F$46/Assumptions!$E$7</f>
        <v>0.35</v>
      </c>
      <c r="O112" s="28"/>
    </row>
    <row r="113" spans="2:28">
      <c r="B113" s="17" t="s">
        <v>68</v>
      </c>
      <c r="C113" s="18" t="s">
        <v>22</v>
      </c>
      <c r="D113" s="8">
        <f>Inputs!$F$45/Assumptions!$E$6</f>
        <v>2</v>
      </c>
      <c r="E113" s="8">
        <f>Inputs!$F$45/Assumptions!$E$6</f>
        <v>2</v>
      </c>
      <c r="F113" s="8">
        <f>Inputs!$F$45/Assumptions!$E$6</f>
        <v>2</v>
      </c>
      <c r="G113" s="8">
        <f>Inputs!$F$45/Assumptions!$E$6</f>
        <v>2</v>
      </c>
      <c r="H113" s="8">
        <f>Inputs!$F$45/Assumptions!$E$6</f>
        <v>2</v>
      </c>
      <c r="I113" s="8">
        <f>Inputs!$F$45/Assumptions!$E$6</f>
        <v>2</v>
      </c>
      <c r="J113" s="58">
        <f>Inputs!$F$45/Assumptions!$E$6</f>
        <v>2</v>
      </c>
      <c r="K113" s="58">
        <f>Inputs!$F$45/Assumptions!$E$6</f>
        <v>2</v>
      </c>
      <c r="L113" s="58">
        <f>Inputs!$F$45/Assumptions!$E$6</f>
        <v>2</v>
      </c>
      <c r="M113" s="58">
        <f>Inputs!$F$45/Assumptions!$E$6</f>
        <v>2</v>
      </c>
      <c r="N113" s="58">
        <f>Inputs!$F$45/Assumptions!$E$6</f>
        <v>2</v>
      </c>
      <c r="O113" s="28"/>
    </row>
    <row r="114" spans="2:28">
      <c r="B114" s="17" t="s">
        <v>69</v>
      </c>
      <c r="C114" s="18" t="s">
        <v>22</v>
      </c>
      <c r="D114" s="8">
        <f>Assumptions!$E$8/100*(Inputs!$F$45+Inputs!$F$46)</f>
        <v>1.08</v>
      </c>
      <c r="E114" s="8">
        <f>Assumptions!$E$8/100*(Inputs!$F$45+Inputs!$F$46)</f>
        <v>1.08</v>
      </c>
      <c r="F114" s="8">
        <f>Assumptions!$E$8/100*(Inputs!$F$45+Inputs!$F$46)</f>
        <v>1.08</v>
      </c>
      <c r="G114" s="8">
        <f>Assumptions!$E$8/100*(Inputs!$F$45+Inputs!$F$46)</f>
        <v>1.08</v>
      </c>
      <c r="H114" s="8">
        <f>Assumptions!$E$8/100*(Inputs!$F$45+Inputs!$F$46)</f>
        <v>1.08</v>
      </c>
      <c r="I114" s="8">
        <f>Assumptions!$E$8/100*(Inputs!$F$45+Inputs!$F$46)</f>
        <v>1.08</v>
      </c>
      <c r="J114" s="58">
        <f>Assumptions!$E$8/100*(Inputs!$F$45+Inputs!$F$46)</f>
        <v>1.08</v>
      </c>
      <c r="K114" s="58">
        <f>Assumptions!$E$8/100*(Inputs!$F$45+Inputs!$F$46)</f>
        <v>1.08</v>
      </c>
      <c r="L114" s="58">
        <f>Assumptions!$E$8/100*(Inputs!$F$45+Inputs!$F$46)</f>
        <v>1.08</v>
      </c>
      <c r="M114" s="58">
        <f>Assumptions!$E$8/100*(Inputs!$F$45+Inputs!$F$46)</f>
        <v>1.08</v>
      </c>
      <c r="N114" s="58">
        <f>Assumptions!$E$8/100*(Inputs!$F$45+Inputs!$F$46)</f>
        <v>1.08</v>
      </c>
      <c r="O114" s="28"/>
      <c r="R114" s="1"/>
      <c r="S114" s="1"/>
      <c r="T114" s="1"/>
      <c r="U114" s="1"/>
      <c r="V114" s="1"/>
      <c r="W114" s="1"/>
      <c r="X114" s="1"/>
      <c r="Y114" s="1"/>
      <c r="Z114" s="1"/>
      <c r="AA114" s="1"/>
      <c r="AB114" s="1"/>
    </row>
    <row r="115" spans="2:28">
      <c r="B115" s="17" t="s">
        <v>70</v>
      </c>
      <c r="C115" s="18" t="s">
        <v>22</v>
      </c>
      <c r="D115" s="8">
        <f>Assumptions!$E$9*Inputs!$F$44</f>
        <v>1.407</v>
      </c>
      <c r="E115" s="8">
        <f>Assumptions!$E$9*Inputs!$F$44</f>
        <v>1.407</v>
      </c>
      <c r="F115" s="8">
        <f>Assumptions!$E$9*Inputs!$F$44</f>
        <v>1.407</v>
      </c>
      <c r="G115" s="8">
        <f>Assumptions!$E$9*Inputs!$F$44</f>
        <v>1.407</v>
      </c>
      <c r="H115" s="8">
        <f>Assumptions!$E$9*Inputs!$F$44</f>
        <v>1.407</v>
      </c>
      <c r="I115" s="8">
        <f>Assumptions!$E$9*Inputs!$F$44</f>
        <v>1.407</v>
      </c>
      <c r="J115" s="58">
        <f>Assumptions!$E$9*Inputs!$F$44</f>
        <v>1.407</v>
      </c>
      <c r="K115" s="58">
        <f>Assumptions!$E$9*Inputs!$F$44</f>
        <v>1.407</v>
      </c>
      <c r="L115" s="58">
        <f>Assumptions!$E$9*Inputs!$F$44</f>
        <v>1.407</v>
      </c>
      <c r="M115" s="58">
        <f>Assumptions!$E$9*Inputs!$F$44</f>
        <v>1.407</v>
      </c>
      <c r="N115" s="58">
        <f>Assumptions!$E$9*Inputs!$F$44</f>
        <v>1.407</v>
      </c>
      <c r="O115" s="28"/>
    </row>
    <row r="116" spans="2:28">
      <c r="B116" s="17" t="s">
        <v>71</v>
      </c>
      <c r="C116" s="18" t="s">
        <v>22</v>
      </c>
      <c r="D116" s="89">
        <f t="shared" ref="D116:N116" si="27">D103*D105</f>
        <v>2.016</v>
      </c>
      <c r="E116" s="89">
        <f t="shared" si="27"/>
        <v>3.7800000000000002</v>
      </c>
      <c r="F116" s="89">
        <f t="shared" si="27"/>
        <v>3.7800000000000002</v>
      </c>
      <c r="G116" s="89">
        <f t="shared" si="27"/>
        <v>3.15</v>
      </c>
      <c r="H116" s="8">
        <f t="shared" si="27"/>
        <v>2.1419999999999999</v>
      </c>
      <c r="I116" s="86">
        <f t="shared" si="27"/>
        <v>2.1419999999999999</v>
      </c>
      <c r="J116" s="62">
        <f t="shared" si="27"/>
        <v>2.1419999999999999</v>
      </c>
      <c r="K116" s="62">
        <f t="shared" si="27"/>
        <v>2.1419999999999999</v>
      </c>
      <c r="L116" s="62">
        <f t="shared" si="27"/>
        <v>2.04</v>
      </c>
      <c r="M116" s="62">
        <f t="shared" si="27"/>
        <v>2.0229999999999997</v>
      </c>
      <c r="N116" s="62">
        <f t="shared" si="27"/>
        <v>2.0059999999999998</v>
      </c>
      <c r="O116" s="28"/>
    </row>
    <row r="117" spans="2:28" ht="15.5" thickBot="1">
      <c r="B117" s="39" t="s">
        <v>63</v>
      </c>
      <c r="C117" s="178" t="s">
        <v>22</v>
      </c>
      <c r="D117" s="179">
        <f t="shared" ref="D117:N117" si="28">D107</f>
        <v>1.2</v>
      </c>
      <c r="E117" s="41">
        <f t="shared" si="28"/>
        <v>1.2</v>
      </c>
      <c r="F117" s="41">
        <f t="shared" si="28"/>
        <v>1.2</v>
      </c>
      <c r="G117" s="41">
        <f t="shared" si="28"/>
        <v>1.2</v>
      </c>
      <c r="H117" s="41">
        <f t="shared" si="28"/>
        <v>1.2</v>
      </c>
      <c r="I117" s="41">
        <f t="shared" si="28"/>
        <v>1.2</v>
      </c>
      <c r="J117" s="120">
        <f t="shared" si="28"/>
        <v>1.2</v>
      </c>
      <c r="K117" s="120">
        <f t="shared" si="28"/>
        <v>1.2</v>
      </c>
      <c r="L117" s="120">
        <f t="shared" si="28"/>
        <v>1.2</v>
      </c>
      <c r="M117" s="120">
        <f t="shared" si="28"/>
        <v>1.2</v>
      </c>
      <c r="N117" s="120">
        <f t="shared" si="28"/>
        <v>1.2</v>
      </c>
      <c r="O117" s="28"/>
    </row>
    <row r="118" spans="2:28">
      <c r="B118" s="37" t="s">
        <v>72</v>
      </c>
      <c r="C118" s="171" t="s">
        <v>22</v>
      </c>
      <c r="D118" s="187">
        <f t="shared" ref="D118:J118" si="29">SUM(D111:D117)</f>
        <v>15.252999999999998</v>
      </c>
      <c r="E118" s="38">
        <f t="shared" si="29"/>
        <v>15.216999999999999</v>
      </c>
      <c r="F118" s="38">
        <f t="shared" si="29"/>
        <v>14.766999999999999</v>
      </c>
      <c r="G118" s="38">
        <f t="shared" si="29"/>
        <v>13.686999999999999</v>
      </c>
      <c r="H118" s="38">
        <f t="shared" si="29"/>
        <v>12.228999999999999</v>
      </c>
      <c r="I118" s="123">
        <f t="shared" si="29"/>
        <v>11.778999999999998</v>
      </c>
      <c r="J118" s="83">
        <f t="shared" si="29"/>
        <v>11.688999999999998</v>
      </c>
      <c r="K118" s="83">
        <f t="shared" ref="K118:N118" si="30">SUM(K111:K117)</f>
        <v>11.643999999999998</v>
      </c>
      <c r="L118" s="83">
        <f t="shared" si="30"/>
        <v>11.497</v>
      </c>
      <c r="M118" s="83">
        <f t="shared" si="30"/>
        <v>11.479999999999999</v>
      </c>
      <c r="N118" s="83">
        <f t="shared" si="30"/>
        <v>11.445</v>
      </c>
      <c r="O118" s="28"/>
    </row>
    <row r="119" spans="2:28">
      <c r="B119" s="37" t="s">
        <v>73</v>
      </c>
      <c r="C119" s="172" t="s">
        <v>22</v>
      </c>
      <c r="D119" s="42">
        <f t="shared" ref="D119:J119" si="31">D118*0.15</f>
        <v>2.2879499999999995</v>
      </c>
      <c r="E119" s="8">
        <f t="shared" si="31"/>
        <v>2.2825499999999996</v>
      </c>
      <c r="F119" s="8">
        <f t="shared" si="31"/>
        <v>2.2150499999999997</v>
      </c>
      <c r="G119" s="8">
        <f t="shared" si="31"/>
        <v>2.0530499999999998</v>
      </c>
      <c r="H119" s="8">
        <f t="shared" si="31"/>
        <v>1.8343499999999997</v>
      </c>
      <c r="I119" s="86">
        <f t="shared" si="31"/>
        <v>1.7668499999999996</v>
      </c>
      <c r="J119" s="62">
        <f t="shared" si="31"/>
        <v>1.7533499999999997</v>
      </c>
      <c r="K119" s="62">
        <f t="shared" ref="K119:N119" si="32">K118*0.15</f>
        <v>1.7465999999999997</v>
      </c>
      <c r="L119" s="62">
        <f t="shared" si="32"/>
        <v>1.72455</v>
      </c>
      <c r="M119" s="62">
        <f t="shared" si="32"/>
        <v>1.7219999999999998</v>
      </c>
      <c r="N119" s="62">
        <f t="shared" si="32"/>
        <v>1.71675</v>
      </c>
      <c r="O119" s="28"/>
    </row>
    <row r="120" spans="2:28">
      <c r="B120" s="33" t="s">
        <v>74</v>
      </c>
      <c r="C120" s="172" t="s">
        <v>22</v>
      </c>
      <c r="D120" s="42">
        <f t="shared" ref="D120:I120" si="33">D118+D119</f>
        <v>17.540949999999999</v>
      </c>
      <c r="E120" s="8">
        <f t="shared" si="33"/>
        <v>17.499549999999999</v>
      </c>
      <c r="F120" s="8">
        <f t="shared" si="33"/>
        <v>16.982050000000001</v>
      </c>
      <c r="G120" s="8">
        <f t="shared" si="33"/>
        <v>15.74005</v>
      </c>
      <c r="H120" s="8">
        <f t="shared" si="33"/>
        <v>14.06335</v>
      </c>
      <c r="I120" s="86">
        <f t="shared" si="33"/>
        <v>13.545849999999998</v>
      </c>
      <c r="J120" s="62">
        <f t="shared" ref="J120:N120" si="34">J118+J119</f>
        <v>13.442349999999998</v>
      </c>
      <c r="K120" s="62">
        <f t="shared" si="34"/>
        <v>13.390599999999997</v>
      </c>
      <c r="L120" s="62">
        <f t="shared" si="34"/>
        <v>13.221550000000001</v>
      </c>
      <c r="M120" s="62">
        <f t="shared" si="34"/>
        <v>13.201999999999998</v>
      </c>
      <c r="N120" s="62">
        <f t="shared" si="34"/>
        <v>13.16175</v>
      </c>
      <c r="O120" s="28"/>
    </row>
    <row r="121" spans="2:28">
      <c r="B121" s="33" t="s">
        <v>75</v>
      </c>
      <c r="C121" s="172" t="s">
        <v>22</v>
      </c>
      <c r="D121" s="42">
        <f t="shared" ref="D121:I121" si="35">D120+D110</f>
        <v>18.806651499999997</v>
      </c>
      <c r="E121" s="8">
        <f t="shared" si="35"/>
        <v>18.765251499999998</v>
      </c>
      <c r="F121" s="8">
        <f t="shared" si="35"/>
        <v>18.2477515</v>
      </c>
      <c r="G121" s="8">
        <f t="shared" si="35"/>
        <v>17.005751499999999</v>
      </c>
      <c r="H121" s="8">
        <f t="shared" si="35"/>
        <v>15.3290515</v>
      </c>
      <c r="I121" s="86">
        <f t="shared" si="35"/>
        <v>14.764976499999998</v>
      </c>
      <c r="J121" s="62">
        <f t="shared" ref="J121:N121" si="36">J120+J110</f>
        <v>14.652161499999998</v>
      </c>
      <c r="K121" s="62">
        <f t="shared" si="36"/>
        <v>14.595753999999998</v>
      </c>
      <c r="L121" s="62">
        <f t="shared" si="36"/>
        <v>14.4114895</v>
      </c>
      <c r="M121" s="62">
        <f t="shared" si="36"/>
        <v>14.390179999999997</v>
      </c>
      <c r="N121" s="62">
        <f t="shared" si="36"/>
        <v>14.3463075</v>
      </c>
      <c r="O121" s="28"/>
    </row>
    <row r="122" spans="2:28">
      <c r="B122" s="34" t="s">
        <v>74</v>
      </c>
      <c r="C122" s="173" t="s">
        <v>76</v>
      </c>
      <c r="D122" s="166">
        <f>(D121/1000)*D106</f>
        <v>3.5732637849999992E-2</v>
      </c>
      <c r="E122" s="165">
        <f>(E121/1000)*E106</f>
        <v>3.565397784999999E-2</v>
      </c>
      <c r="F122" s="165">
        <f>(F121/1000)*F106</f>
        <v>3.4670727849999999E-2</v>
      </c>
      <c r="G122" s="165">
        <f>(G121/1000)*G106</f>
        <v>3.2310927849999997E-2</v>
      </c>
      <c r="H122" s="165">
        <f t="shared" ref="H122" si="37">(H121/1000)*H106</f>
        <v>2.9125197849999999E-2</v>
      </c>
      <c r="I122" s="165" cm="1">
        <f t="array" ref="I122">IF(Inputs!$C$38="Domestic", (I121/1000)*I106,
IF(AND(Inputs!$C$38="China", OR(Inputs!$C$3="Germany", Inputs!$C$3="India", Inputs!$C$3="Australia", Inputs!$C$3="Vietnam")),
  INDEX(Country_Index!$D$56:$I$59, MATCH(Inputs!$C$3, Country_Index!$C$56:$C$59, 0), COLUMN(A1)),
IF(AND(Inputs!$C$38="Vietnam", Inputs!$C$3="US"),
  INDEX(Country_Index!$D$60:$I$60, 1, COLUMN(A1)),
  NA())))</f>
        <v>2.8053455349999992E-2</v>
      </c>
      <c r="J122" s="164" cm="1">
        <f t="array" ref="J122">IF(Inputs!$C$38="Domestic", (J121/1000)*J106,
IF(AND(Inputs!$C$38="China", OR(Inputs!$C$3="Germany", Inputs!$C$3="India", Inputs!$C$3="Australia", Inputs!$C$3="Vietnam")),
  INDEX(Country_Index!$D$56:$I$59, MATCH(Inputs!$C$3, Country_Index!$C$56:$C$59, 0), COLUMN(B1)),
IF(AND(Inputs!$C$38="Vietnam", Inputs!$C$3="US"),
  INDEX(Country_Index!$D$60:$I$60, 1, COLUMN(B1)),
  NA())))</f>
        <v>2.7839106849999996E-2</v>
      </c>
      <c r="K122" s="164" cm="1">
        <f t="array" ref="K122">IF(Inputs!$C$38="Domestic", (K121/1000)*K106,
IF(AND(Inputs!$C$38="China", OR(Inputs!$C$3="Germany", Inputs!$C$3="India", Inputs!$C$3="Australia", Inputs!$C$3="Vietnam")),
  INDEX(Country_Index!$D$56:$I$59, MATCH(Inputs!$C$3, Country_Index!$C$56:$C$59, 0), COLUMN(C1)),
IF(AND(Inputs!$C$38="Vietnam", Inputs!$C$3="US"),
  INDEX(Country_Index!$D$60:$I$60, 1, COLUMN(C1)),
  NA())))</f>
        <v>2.7731932599999995E-2</v>
      </c>
      <c r="L122" s="164" cm="1">
        <f t="array" ref="L122">IF(Inputs!$C$38="Domestic", (L121/1000)*L106,
IF(AND(Inputs!$C$38="China", OR(Inputs!$C$3="Germany", Inputs!$C$3="India", Inputs!$C$3="Australia", Inputs!$C$3="Vietnam")),
  INDEX(Country_Index!$D$56:$I$59, MATCH(Inputs!$C$3, Country_Index!$C$56:$C$59, 0), COLUMN(D1)),
IF(AND(Inputs!$C$38="Vietnam", Inputs!$C$3="US"),
  INDEX(Country_Index!$D$60:$I$60, 1, COLUMN(D1)),
  NA())))</f>
        <v>2.7381830049999997E-2</v>
      </c>
      <c r="M122" s="164" cm="1">
        <f t="array" ref="M122">IF(Inputs!$C$38="Domestic", (M121/1000)*M106,
IF(AND(Inputs!$C$38="China", OR(Inputs!$C$3="Germany", Inputs!$C$3="India", Inputs!$C$3="Australia", Inputs!$C$3="Vietnam")),
  INDEX(Country_Index!$D$56:$I$59, MATCH(Inputs!$C$3, Country_Index!$C$56:$C$59, 0), COLUMN(E1)),
IF(AND(Inputs!$C$38="Vietnam", Inputs!$C$3="US"),
  INDEX(Country_Index!$D$60:$I$60, 1, COLUMN(E1)),
  NA())))</f>
        <v>2.7341341999999994E-2</v>
      </c>
      <c r="N122" s="164" cm="1">
        <f t="array" ref="N122">IF(Inputs!$C$38="Domestic", (N121/1000)*N106,
IF(AND(Inputs!$C$38="China", OR(Inputs!$C$3="Germany", Inputs!$C$3="India", Inputs!$C$3="Australia", Inputs!$C$3="Vietnam")),
  INDEX(Country_Index!$D$56:$I$59, MATCH(Inputs!$C$3, Country_Index!$C$56:$C$59, 0), COLUMN(F1)),
IF(AND(Inputs!$C$38="Vietnam", Inputs!$C$3="US"),
  INDEX(Country_Index!$D$60:$I$60, 1, COLUMN(F1)),
  NA())))</f>
        <v>2.7257984249999999E-2</v>
      </c>
      <c r="O122" s="28"/>
    </row>
    <row r="123" spans="2:28">
      <c r="C123" s="3"/>
      <c r="D123" s="3"/>
      <c r="E123" s="3"/>
      <c r="F123" s="3"/>
      <c r="G123" s="3"/>
      <c r="H123" s="3"/>
      <c r="I123" s="3"/>
      <c r="J123" s="3"/>
      <c r="K123" s="3"/>
      <c r="L123" s="3"/>
      <c r="M123" s="3"/>
      <c r="N123" s="3"/>
      <c r="O123" s="28"/>
    </row>
    <row r="124" spans="2:28">
      <c r="B124" s="5" t="s">
        <v>78</v>
      </c>
      <c r="C124" s="3"/>
      <c r="D124" s="6">
        <v>2020</v>
      </c>
      <c r="E124" s="6">
        <v>2021</v>
      </c>
      <c r="F124" s="6">
        <v>2022</v>
      </c>
      <c r="G124" s="6">
        <v>2023</v>
      </c>
      <c r="H124" s="6">
        <v>2024</v>
      </c>
      <c r="I124" s="6">
        <v>2025</v>
      </c>
      <c r="J124" s="7">
        <v>2026</v>
      </c>
      <c r="K124" s="7">
        <v>2027</v>
      </c>
      <c r="L124" s="7">
        <v>2028</v>
      </c>
      <c r="M124" s="7">
        <v>2029</v>
      </c>
      <c r="N124" s="7">
        <v>2030</v>
      </c>
      <c r="O124" s="144"/>
      <c r="R124" s="1"/>
      <c r="S124" s="1"/>
      <c r="T124" s="1"/>
      <c r="U124" s="1"/>
      <c r="V124" s="1"/>
      <c r="W124" s="1"/>
      <c r="X124" s="1"/>
      <c r="Y124" s="1"/>
      <c r="Z124" s="1"/>
      <c r="AA124" s="1"/>
      <c r="AB124" s="1"/>
    </row>
    <row r="125" spans="2:28">
      <c r="B125" s="17" t="s">
        <v>55</v>
      </c>
      <c r="C125" s="18" t="s">
        <v>79</v>
      </c>
      <c r="D125" s="42">
        <v>0.9</v>
      </c>
      <c r="E125" s="42">
        <v>0.9</v>
      </c>
      <c r="F125" s="42">
        <v>0.9</v>
      </c>
      <c r="G125" s="42">
        <v>0.9</v>
      </c>
      <c r="H125" s="42">
        <v>0.9</v>
      </c>
      <c r="I125" s="42">
        <v>0.9</v>
      </c>
      <c r="J125" s="62">
        <v>0.89</v>
      </c>
      <c r="K125" s="62">
        <v>0.88</v>
      </c>
      <c r="L125" s="62">
        <v>0.87</v>
      </c>
      <c r="M125" s="62">
        <v>0.86</v>
      </c>
      <c r="N125" s="62">
        <v>0.85</v>
      </c>
      <c r="O125" s="144"/>
      <c r="R125" s="1"/>
      <c r="S125" s="1"/>
      <c r="T125" s="1"/>
      <c r="U125" s="1"/>
      <c r="V125" s="1"/>
      <c r="W125" s="1"/>
      <c r="X125" s="1"/>
      <c r="Y125" s="1"/>
      <c r="Z125" s="1"/>
      <c r="AA125" s="1"/>
      <c r="AB125" s="1"/>
    </row>
    <row r="126" spans="2:28">
      <c r="B126" s="17" t="s">
        <v>63</v>
      </c>
      <c r="C126" s="18" t="s">
        <v>80</v>
      </c>
      <c r="D126" s="42">
        <f>Assumptions!$E$25</f>
        <v>6.93E-2</v>
      </c>
      <c r="E126" s="42">
        <f>Assumptions!$E$25</f>
        <v>6.93E-2</v>
      </c>
      <c r="F126" s="42">
        <f>Assumptions!$E$25</f>
        <v>6.93E-2</v>
      </c>
      <c r="G126" s="42">
        <f>Assumptions!$E$25</f>
        <v>6.93E-2</v>
      </c>
      <c r="H126" s="42">
        <f>Assumptions!$E$25</f>
        <v>6.93E-2</v>
      </c>
      <c r="I126" s="42">
        <f>Assumptions!$E$25</f>
        <v>6.93E-2</v>
      </c>
      <c r="J126" s="59">
        <f>Assumptions!$E$25</f>
        <v>6.93E-2</v>
      </c>
      <c r="K126" s="59">
        <f>Assumptions!$E$25</f>
        <v>6.93E-2</v>
      </c>
      <c r="L126" s="59">
        <f>Assumptions!$E$25</f>
        <v>6.93E-2</v>
      </c>
      <c r="M126" s="59">
        <f>Assumptions!$E$25</f>
        <v>6.93E-2</v>
      </c>
      <c r="N126" s="59">
        <f>Assumptions!$E$25</f>
        <v>6.93E-2</v>
      </c>
      <c r="O126" s="145"/>
      <c r="R126" s="1"/>
      <c r="S126" s="1"/>
      <c r="T126" s="1"/>
      <c r="U126" s="1"/>
      <c r="V126" s="1"/>
      <c r="W126" s="1"/>
      <c r="X126" s="1"/>
      <c r="Y126" s="1"/>
      <c r="Z126" s="1"/>
      <c r="AA126" s="1"/>
      <c r="AB126" s="1"/>
    </row>
    <row r="127" spans="2:28">
      <c r="B127" s="17" t="s">
        <v>58</v>
      </c>
      <c r="C127" s="18" t="s">
        <v>27</v>
      </c>
      <c r="D127" s="42">
        <f>Inputs!$F$53</f>
        <v>4000000000</v>
      </c>
      <c r="E127" s="42">
        <f>Inputs!$F$53</f>
        <v>4000000000</v>
      </c>
      <c r="F127" s="42">
        <f>Inputs!$F$53</f>
        <v>4000000000</v>
      </c>
      <c r="G127" s="42">
        <f>Inputs!$F$53</f>
        <v>4000000000</v>
      </c>
      <c r="H127" s="42">
        <f>Inputs!$F$53</f>
        <v>4000000000</v>
      </c>
      <c r="I127" s="42">
        <f>Inputs!$F$53</f>
        <v>4000000000</v>
      </c>
      <c r="J127" s="59">
        <f>Inputs!$F$53</f>
        <v>4000000000</v>
      </c>
      <c r="K127" s="59">
        <f>Inputs!$F$53</f>
        <v>4000000000</v>
      </c>
      <c r="L127" s="62">
        <f>Inputs!$F$54</f>
        <v>6000000000</v>
      </c>
      <c r="M127" s="62">
        <f>Inputs!$F$54</f>
        <v>6000000000</v>
      </c>
      <c r="N127" s="62">
        <f>Inputs!$F$54</f>
        <v>6000000000</v>
      </c>
      <c r="O127" s="145"/>
      <c r="R127" s="1"/>
      <c r="S127" s="1"/>
      <c r="T127" s="1"/>
      <c r="U127" s="1"/>
      <c r="V127" s="1"/>
      <c r="W127" s="1"/>
      <c r="X127" s="1"/>
      <c r="Y127" s="1"/>
      <c r="Z127" s="1"/>
      <c r="AA127" s="1"/>
      <c r="AB127" s="1"/>
    </row>
    <row r="128" spans="2:28">
      <c r="B128" s="60" t="s">
        <v>111</v>
      </c>
      <c r="C128" s="61" t="s">
        <v>82</v>
      </c>
      <c r="D128" s="42">
        <f>Assumptions!$E$19</f>
        <v>3.3124000000000001E-2</v>
      </c>
      <c r="E128" s="42">
        <f>Assumptions!$E$19</f>
        <v>3.3124000000000001E-2</v>
      </c>
      <c r="F128" s="42">
        <f>Assumptions!$E$19</f>
        <v>3.3124000000000001E-2</v>
      </c>
      <c r="G128" s="42">
        <f>Assumptions!$E$19</f>
        <v>3.3124000000000001E-2</v>
      </c>
      <c r="H128" s="42">
        <f>Assumptions!$E$19</f>
        <v>3.3124000000000001E-2</v>
      </c>
      <c r="I128" s="42">
        <f>Assumptions!$E$19</f>
        <v>3.3124000000000001E-2</v>
      </c>
      <c r="J128" s="59">
        <f>Assumptions!$E$19</f>
        <v>3.3124000000000001E-2</v>
      </c>
      <c r="K128" s="59">
        <f>Assumptions!$E$19</f>
        <v>3.3124000000000001E-2</v>
      </c>
      <c r="L128" s="59">
        <f>Assumptions!$E$19</f>
        <v>3.3124000000000001E-2</v>
      </c>
      <c r="M128" s="59">
        <f>Assumptions!$E$19</f>
        <v>3.3124000000000001E-2</v>
      </c>
      <c r="N128" s="59">
        <f>Assumptions!$E$19</f>
        <v>3.3124000000000001E-2</v>
      </c>
      <c r="O128" s="145"/>
      <c r="R128" s="1"/>
      <c r="S128" s="1"/>
      <c r="T128" s="1"/>
      <c r="U128" s="1"/>
      <c r="V128" s="1"/>
      <c r="W128" s="1"/>
      <c r="X128" s="1"/>
      <c r="Y128" s="1"/>
      <c r="Z128" s="1"/>
      <c r="AA128" s="1"/>
      <c r="AB128" s="1"/>
    </row>
    <row r="129" spans="2:28">
      <c r="B129" s="60" t="s">
        <v>83</v>
      </c>
      <c r="C129" s="61" t="s">
        <v>60</v>
      </c>
      <c r="D129" s="42">
        <v>0.23400000000000001</v>
      </c>
      <c r="E129" s="42">
        <v>0.23400000000000001</v>
      </c>
      <c r="F129" s="42">
        <v>0.23499999999999999</v>
      </c>
      <c r="G129" s="42">
        <v>0.23499999999999999</v>
      </c>
      <c r="H129" s="42">
        <v>0.23599999999999999</v>
      </c>
      <c r="I129" s="42">
        <v>0.23699999999999999</v>
      </c>
      <c r="J129" s="59">
        <v>0.23799999999999999</v>
      </c>
      <c r="K129" s="59">
        <v>0.23799999999999999</v>
      </c>
      <c r="L129" s="62">
        <v>0.23799999999999999</v>
      </c>
      <c r="M129" s="62">
        <v>0.23899999999999999</v>
      </c>
      <c r="N129" s="62">
        <v>0.24</v>
      </c>
      <c r="O129" s="145"/>
      <c r="R129" s="1"/>
      <c r="S129" s="1"/>
      <c r="T129" s="1"/>
      <c r="U129" s="1"/>
      <c r="V129" s="1"/>
      <c r="W129" s="1"/>
      <c r="X129" s="1"/>
      <c r="Y129" s="1"/>
      <c r="Z129" s="1"/>
      <c r="AA129" s="1"/>
      <c r="AB129" s="1"/>
    </row>
    <row r="130" spans="2:28">
      <c r="B130" s="60" t="s">
        <v>84</v>
      </c>
      <c r="C130" s="61" t="s">
        <v>85</v>
      </c>
      <c r="D130" s="42">
        <f>Assumptions!$E$28</f>
        <v>1000</v>
      </c>
      <c r="E130" s="42">
        <f>Assumptions!$E$28</f>
        <v>1000</v>
      </c>
      <c r="F130" s="42">
        <f>Assumptions!$E$28</f>
        <v>1000</v>
      </c>
      <c r="G130" s="42">
        <f>Assumptions!$E$28</f>
        <v>1000</v>
      </c>
      <c r="H130" s="42">
        <f>Assumptions!$E$28</f>
        <v>1000</v>
      </c>
      <c r="I130" s="42">
        <f>Assumptions!$E$28</f>
        <v>1000</v>
      </c>
      <c r="J130" s="59">
        <f>Assumptions!$E$28</f>
        <v>1000</v>
      </c>
      <c r="K130" s="59">
        <f>Assumptions!$E$28</f>
        <v>1000</v>
      </c>
      <c r="L130" s="59">
        <f>Assumptions!$E$28</f>
        <v>1000</v>
      </c>
      <c r="M130" s="59">
        <f>Assumptions!$E$28</f>
        <v>1000</v>
      </c>
      <c r="N130" s="59">
        <f>Assumptions!$E$28</f>
        <v>1000</v>
      </c>
      <c r="O130" s="145"/>
      <c r="R130" s="1"/>
      <c r="S130" s="1"/>
      <c r="T130" s="1"/>
      <c r="U130" s="1"/>
      <c r="V130" s="1"/>
      <c r="W130" s="1"/>
      <c r="X130" s="1"/>
      <c r="Y130" s="1"/>
      <c r="Z130" s="1"/>
      <c r="AA130" s="1"/>
      <c r="AB130" s="1"/>
    </row>
    <row r="131" spans="2:28">
      <c r="B131" s="60" t="s">
        <v>86</v>
      </c>
      <c r="C131" s="61" t="s">
        <v>27</v>
      </c>
      <c r="D131" s="42">
        <f t="shared" ref="D131:N131" si="38">D128*D129*D130</f>
        <v>7.7510159999999999</v>
      </c>
      <c r="E131" s="42">
        <f t="shared" si="38"/>
        <v>7.7510159999999999</v>
      </c>
      <c r="F131" s="42">
        <f t="shared" si="38"/>
        <v>7.7841399999999989</v>
      </c>
      <c r="G131" s="42">
        <f t="shared" si="38"/>
        <v>7.7841399999999989</v>
      </c>
      <c r="H131" s="42">
        <f t="shared" si="38"/>
        <v>7.8172639999999989</v>
      </c>
      <c r="I131" s="42">
        <f t="shared" si="38"/>
        <v>7.8503879999999997</v>
      </c>
      <c r="J131" s="62">
        <f t="shared" si="38"/>
        <v>7.8835120000000005</v>
      </c>
      <c r="K131" s="62">
        <f t="shared" si="38"/>
        <v>7.8835120000000005</v>
      </c>
      <c r="L131" s="62">
        <f t="shared" si="38"/>
        <v>7.8835120000000005</v>
      </c>
      <c r="M131" s="62">
        <f t="shared" si="38"/>
        <v>7.9166359999999996</v>
      </c>
      <c r="N131" s="62">
        <f t="shared" si="38"/>
        <v>7.9497600000000004</v>
      </c>
      <c r="O131" s="145"/>
      <c r="R131" s="1"/>
      <c r="S131" s="1"/>
      <c r="T131" s="1"/>
      <c r="U131" s="1"/>
      <c r="V131" s="1"/>
      <c r="W131" s="1"/>
      <c r="X131" s="1"/>
      <c r="Y131" s="1"/>
      <c r="Z131" s="1"/>
      <c r="AA131" s="1"/>
      <c r="AB131" s="1"/>
    </row>
    <row r="132" spans="2:28">
      <c r="O132" s="145"/>
      <c r="R132" s="1"/>
      <c r="S132" s="1"/>
      <c r="T132" s="1"/>
      <c r="U132" s="1"/>
      <c r="V132" s="1"/>
      <c r="W132" s="1"/>
      <c r="X132" s="1"/>
      <c r="Y132" s="1"/>
      <c r="Z132" s="1"/>
      <c r="AA132" s="1"/>
      <c r="AB132" s="1"/>
    </row>
    <row r="133" spans="2:28">
      <c r="B133" s="5" t="s">
        <v>78</v>
      </c>
      <c r="C133" s="3"/>
      <c r="D133" s="6">
        <v>2020</v>
      </c>
      <c r="E133" s="6">
        <v>2021</v>
      </c>
      <c r="F133" s="6">
        <v>2022</v>
      </c>
      <c r="G133" s="6">
        <v>2023</v>
      </c>
      <c r="H133" s="6">
        <v>2024</v>
      </c>
      <c r="I133" s="6">
        <v>2025</v>
      </c>
      <c r="J133" s="7">
        <v>2026</v>
      </c>
      <c r="K133" s="7">
        <v>2027</v>
      </c>
      <c r="L133" s="7">
        <v>2028</v>
      </c>
      <c r="M133" s="7">
        <v>2029</v>
      </c>
      <c r="N133" s="7">
        <v>2030</v>
      </c>
      <c r="O133" s="28"/>
      <c r="R133" s="1"/>
      <c r="S133" s="1"/>
      <c r="T133" s="1"/>
      <c r="U133" s="1"/>
      <c r="V133" s="1"/>
      <c r="W133" s="1"/>
      <c r="X133" s="1"/>
      <c r="Y133" s="1"/>
      <c r="Z133" s="1"/>
      <c r="AA133" s="1"/>
      <c r="AB133" s="1"/>
    </row>
    <row r="134" spans="2:28">
      <c r="B134" s="17" t="s">
        <v>65</v>
      </c>
      <c r="C134" s="18" t="s">
        <v>76</v>
      </c>
      <c r="D134" s="50">
        <f>(((D127*0.9)*'Cost Model_Calculations'!$H$47)/'Cost Model_Calculations'!D127)*Assumptions!$E$26</f>
        <v>4.5663596114599702E-3</v>
      </c>
      <c r="E134" s="50">
        <f>(((E127*0.9)*'Cost Model_Calculations'!$H$47)/'Cost Model_Calculations'!E127)*Assumptions!$E$26</f>
        <v>4.5663596114599702E-3</v>
      </c>
      <c r="F134" s="50">
        <f>(((F127*0.9)*'Cost Model_Calculations'!$H$47)/'Cost Model_Calculations'!F127)*Assumptions!$E$26</f>
        <v>4.5663596114599702E-3</v>
      </c>
      <c r="G134" s="50">
        <f>(((G127*0.9)*'Cost Model_Calculations'!$H$47)/'Cost Model_Calculations'!G127)*Assumptions!$E$26</f>
        <v>4.5663596114599702E-3</v>
      </c>
      <c r="H134" s="50">
        <f>(((H127*0.9)*H143)/'Cost Model_Calculations'!H127)*Assumptions!$E$26</f>
        <v>4.844860580596997E-3</v>
      </c>
      <c r="I134" s="50">
        <f>(((I127*0.9)*I143)/'Cost Model_Calculations'!I127)*Assumptions!$E$26</f>
        <v>4.8364641209440867E-3</v>
      </c>
      <c r="J134" s="73">
        <f>(((J127*0.9)*J143)/'Cost Model_Calculations'!J127)*Assumptions!$E$26</f>
        <v>4.8163224199138654E-3</v>
      </c>
      <c r="K134" s="73">
        <f>(((K127*0.9)*K143)/'Cost Model_Calculations'!K127)*Assumptions!$E$26</f>
        <v>4.8045066200520792E-3</v>
      </c>
      <c r="L134" s="73">
        <f>(((L127*0.9)*L143)/'Cost Model_Calculations'!L127)*Assumptions!$E$26</f>
        <v>4.792690820190292E-3</v>
      </c>
      <c r="M134" s="73">
        <f>(((M127*0.9)*M143)/'Cost Model_Calculations'!M127)*Assumptions!$E$26</f>
        <v>4.7728165459457773E-3</v>
      </c>
      <c r="N134" s="73">
        <f>(((N127*0.9)*N143)/'Cost Model_Calculations'!N127)*Assumptions!$E$26</f>
        <v>4.7531078906533023E-3</v>
      </c>
      <c r="O134" s="28"/>
      <c r="R134" s="1"/>
      <c r="S134" s="1"/>
      <c r="T134" s="1"/>
      <c r="U134" s="1"/>
      <c r="V134" s="1"/>
      <c r="W134" s="1"/>
      <c r="X134" s="1"/>
      <c r="Y134" s="1"/>
      <c r="Z134" s="1"/>
      <c r="AA134" s="1"/>
      <c r="AB134" s="1"/>
    </row>
    <row r="135" spans="2:28">
      <c r="B135" s="17" t="s">
        <v>66</v>
      </c>
      <c r="C135" s="18" t="s">
        <v>76</v>
      </c>
      <c r="D135" s="43">
        <f>(D125/'Cost Model_Calculations'!D131)*Inputs!$F$58</f>
        <v>1.0450242910090755E-2</v>
      </c>
      <c r="E135" s="43">
        <f>(E125/'Cost Model_Calculations'!E131)*Inputs!$F$58</f>
        <v>1.0450242910090755E-2</v>
      </c>
      <c r="F135" s="43">
        <f>(F125/'Cost Model_Calculations'!F131)*Inputs!$F$58</f>
        <v>1.0405773791324412E-2</v>
      </c>
      <c r="G135" s="43">
        <f>(G125/'Cost Model_Calculations'!G131)*Inputs!$F$58</f>
        <v>1.0405773791324412E-2</v>
      </c>
      <c r="H135" s="43">
        <f>(H125/'Cost Model_Calculations'!H131)*Inputs!$F$58</f>
        <v>1.0361681529496767E-2</v>
      </c>
      <c r="I135" s="43">
        <f>(I125/'Cost Model_Calculations'!I131)*Inputs!$F$58</f>
        <v>1.0317961354266821E-2</v>
      </c>
      <c r="J135" s="74">
        <f>(J125/'Cost Model_Calculations'!J131)*Inputs!$F$58</f>
        <v>1.0160446257962186E-2</v>
      </c>
      <c r="K135" s="74">
        <f>(K125/'Cost Model_Calculations'!K131)*Inputs!$F$58</f>
        <v>1.0046283940456993E-2</v>
      </c>
      <c r="L135" s="74">
        <f>(L125/'Cost Model_Calculations'!L131)*Inputs!$F$58</f>
        <v>9.9321216229517999E-3</v>
      </c>
      <c r="M135" s="74">
        <f>(M125/'Cost Model_Calculations'!M131)*Inputs!$F$58</f>
        <v>9.7768799778087563E-3</v>
      </c>
      <c r="N135" s="74">
        <f>(N125/'Cost Model_Calculations'!N131)*Inputs!$F$58</f>
        <v>9.6229320130419016E-3</v>
      </c>
      <c r="O135" s="28"/>
      <c r="R135" s="1"/>
      <c r="S135" s="1"/>
      <c r="T135" s="1"/>
      <c r="U135" s="1"/>
      <c r="V135" s="1"/>
      <c r="W135" s="1"/>
      <c r="X135" s="1"/>
      <c r="Y135" s="1"/>
      <c r="Z135" s="1"/>
      <c r="AA135" s="1"/>
      <c r="AB135" s="1"/>
    </row>
    <row r="136" spans="2:28">
      <c r="B136" s="17" t="s">
        <v>67</v>
      </c>
      <c r="C136" s="18" t="s">
        <v>76</v>
      </c>
      <c r="D136" s="43">
        <f>(Inputs!$F$60/Assumptions!$E$22)/1000</f>
        <v>2.7499999999999998E-3</v>
      </c>
      <c r="E136" s="43">
        <f>(Inputs!$F$60/Assumptions!$E$22)/1000</f>
        <v>2.7499999999999998E-3</v>
      </c>
      <c r="F136" s="43">
        <f>(Inputs!$F$60/Assumptions!$E$22)/1000</f>
        <v>2.7499999999999998E-3</v>
      </c>
      <c r="G136" s="43">
        <f>(Inputs!$F$60/Assumptions!$E$22)/1000</f>
        <v>2.7499999999999998E-3</v>
      </c>
      <c r="H136" s="43">
        <f>(Inputs!$F$60/Assumptions!$E$22)/1000</f>
        <v>2.7499999999999998E-3</v>
      </c>
      <c r="I136" s="43">
        <f>(Inputs!$F$60/Assumptions!$E$22)/1000</f>
        <v>2.7499999999999998E-3</v>
      </c>
      <c r="J136" s="74">
        <f>(Inputs!$F$60/Assumptions!$E$22)/1000</f>
        <v>2.7499999999999998E-3</v>
      </c>
      <c r="K136" s="74">
        <f>(Inputs!$F$60/Assumptions!$E$22)/1000</f>
        <v>2.7499999999999998E-3</v>
      </c>
      <c r="L136" s="74">
        <f>(Inputs!$F$60/Assumptions!$E$22)/1000</f>
        <v>2.7499999999999998E-3</v>
      </c>
      <c r="M136" s="74">
        <f>(Inputs!$F$60/Assumptions!$E$22)/1000</f>
        <v>2.7499999999999998E-3</v>
      </c>
      <c r="N136" s="74">
        <f>(Inputs!$F$60/Assumptions!$E$22)/1000</f>
        <v>2.7499999999999998E-3</v>
      </c>
      <c r="O136" s="28"/>
      <c r="R136" s="1"/>
      <c r="S136" s="1"/>
      <c r="T136" s="1"/>
      <c r="U136" s="1"/>
      <c r="V136" s="1"/>
      <c r="W136" s="1"/>
      <c r="X136" s="1"/>
      <c r="Y136" s="1"/>
      <c r="Z136" s="1"/>
      <c r="AA136" s="1"/>
      <c r="AB136" s="1"/>
    </row>
    <row r="137" spans="2:28">
      <c r="B137" s="17" t="s">
        <v>68</v>
      </c>
      <c r="C137" s="18" t="s">
        <v>76</v>
      </c>
      <c r="D137" s="43">
        <f>(Inputs!$F$55/Assumptions!$E$21)/1000</f>
        <v>6.4285714285714285E-3</v>
      </c>
      <c r="E137" s="43">
        <f>(Inputs!$F$55/Assumptions!$E$21)/1000</f>
        <v>6.4285714285714285E-3</v>
      </c>
      <c r="F137" s="43">
        <f>(Inputs!$F$55/Assumptions!$E$21)/1000</f>
        <v>6.4285714285714285E-3</v>
      </c>
      <c r="G137" s="43">
        <f>(Inputs!$F$55/Assumptions!$E$21)/1000</f>
        <v>6.4285714285714285E-3</v>
      </c>
      <c r="H137" s="43">
        <f>(Inputs!$F$55/Assumptions!$E$21)/1000</f>
        <v>6.4285714285714285E-3</v>
      </c>
      <c r="I137" s="43">
        <f>(Inputs!$F$55/Assumptions!$E$21)/1000</f>
        <v>6.4285714285714285E-3</v>
      </c>
      <c r="J137" s="74">
        <f>(Inputs!$F$55/Assumptions!$E$21)/1000</f>
        <v>6.4285714285714285E-3</v>
      </c>
      <c r="K137" s="74">
        <f>(Inputs!$F$55/Assumptions!$E$21)/1000</f>
        <v>6.4285714285714285E-3</v>
      </c>
      <c r="L137" s="74">
        <f>(Inputs!$F$55/Assumptions!$E$21)/1000</f>
        <v>6.4285714285714285E-3</v>
      </c>
      <c r="M137" s="74">
        <f>(Inputs!$F$55/Assumptions!$E$21)/1000</f>
        <v>6.4285714285714285E-3</v>
      </c>
      <c r="N137" s="74">
        <f>(Inputs!$F$55/Assumptions!$E$21)/1000</f>
        <v>6.4285714285714285E-3</v>
      </c>
      <c r="O137" s="28"/>
      <c r="R137" s="1"/>
      <c r="S137" s="1"/>
      <c r="T137" s="1"/>
      <c r="U137" s="1"/>
      <c r="V137" s="1"/>
      <c r="W137" s="1"/>
      <c r="X137" s="1"/>
      <c r="Y137" s="1"/>
      <c r="Z137" s="1"/>
      <c r="AA137" s="1"/>
      <c r="AB137" s="1"/>
    </row>
    <row r="138" spans="2:28">
      <c r="B138" s="17" t="s">
        <v>69</v>
      </c>
      <c r="C138" s="18" t="s">
        <v>76</v>
      </c>
      <c r="D138" s="44">
        <f>Assumptions!$E$23/100*(Inputs!$F$55+Inputs!$F$60)/1000</f>
        <v>4.0000000000000001E-3</v>
      </c>
      <c r="E138" s="44">
        <f>Assumptions!$E$23/100*(Inputs!$F$55+Inputs!$F$60)/1000</f>
        <v>4.0000000000000001E-3</v>
      </c>
      <c r="F138" s="44">
        <f>Assumptions!$E$23/100*(Inputs!$F$55+Inputs!$F$60)/1000</f>
        <v>4.0000000000000001E-3</v>
      </c>
      <c r="G138" s="44">
        <f>Assumptions!$E$23/100*(Inputs!$F$55+Inputs!$F$60)/1000</f>
        <v>4.0000000000000001E-3</v>
      </c>
      <c r="H138" s="44">
        <f>Assumptions!$E$23/100*(Inputs!$F$55+Inputs!$F$60)/1000</f>
        <v>4.0000000000000001E-3</v>
      </c>
      <c r="I138" s="44">
        <f>Assumptions!$E$23/100*(Inputs!$F$55+Inputs!$F$60)/1000</f>
        <v>4.0000000000000001E-3</v>
      </c>
      <c r="J138" s="75">
        <f>Assumptions!$E$23/100*(Inputs!$F$55+Inputs!$F$60)/1000</f>
        <v>4.0000000000000001E-3</v>
      </c>
      <c r="K138" s="75">
        <f>Assumptions!$E$23/100*(Inputs!$F$55+Inputs!$F$60)/1000</f>
        <v>4.0000000000000001E-3</v>
      </c>
      <c r="L138" s="75">
        <f>Assumptions!$E$23/100*(Inputs!$F$55+Inputs!$F$60)/1000</f>
        <v>4.0000000000000001E-3</v>
      </c>
      <c r="M138" s="75">
        <f>Assumptions!$E$23/100*(Inputs!$F$55+Inputs!$F$60)/1000</f>
        <v>4.0000000000000001E-3</v>
      </c>
      <c r="N138" s="75">
        <f>Assumptions!$E$23/100*(Inputs!$F$55+Inputs!$F$60)/1000</f>
        <v>4.0000000000000001E-3</v>
      </c>
      <c r="O138" s="28"/>
      <c r="R138" s="1"/>
      <c r="S138" s="1"/>
      <c r="T138" s="1"/>
      <c r="U138" s="1"/>
      <c r="V138" s="1"/>
      <c r="W138" s="1"/>
      <c r="X138" s="1"/>
      <c r="Y138" s="1"/>
      <c r="Z138" s="1"/>
      <c r="AA138" s="1"/>
      <c r="AB138" s="1"/>
    </row>
    <row r="139" spans="2:28">
      <c r="B139" s="17" t="s">
        <v>70</v>
      </c>
      <c r="C139" s="181" t="s">
        <v>76</v>
      </c>
      <c r="D139" s="112">
        <f>Inputs!$F$59*Assumptions!$E$27</f>
        <v>1.4405000000000001E-2</v>
      </c>
      <c r="E139" s="112">
        <f>Inputs!$F$59*Assumptions!$E$27</f>
        <v>1.4405000000000001E-2</v>
      </c>
      <c r="F139" s="112">
        <f>Inputs!$F$59*Assumptions!$E$27</f>
        <v>1.4405000000000001E-2</v>
      </c>
      <c r="G139" s="112">
        <f>Inputs!$F$59*Assumptions!$E$27</f>
        <v>1.4405000000000001E-2</v>
      </c>
      <c r="H139" s="43">
        <f>Inputs!$F$59*Assumptions!$E$27</f>
        <v>1.4405000000000001E-2</v>
      </c>
      <c r="I139" s="43">
        <f>Inputs!$F$59*Assumptions!$E$27</f>
        <v>1.4405000000000001E-2</v>
      </c>
      <c r="J139" s="74">
        <f>Inputs!$F$59*Assumptions!$E$27</f>
        <v>1.4405000000000001E-2</v>
      </c>
      <c r="K139" s="74">
        <f>Inputs!$F$59*Assumptions!$E$27</f>
        <v>1.4405000000000001E-2</v>
      </c>
      <c r="L139" s="74">
        <f>Inputs!$F$59*Assumptions!$E$27</f>
        <v>1.4405000000000001E-2</v>
      </c>
      <c r="M139" s="74">
        <f>Inputs!$F$59*Assumptions!$E$27</f>
        <v>1.4405000000000001E-2</v>
      </c>
      <c r="N139" s="74">
        <f>Inputs!$F$59*Assumptions!$E$27</f>
        <v>1.4405000000000001E-2</v>
      </c>
      <c r="O139" s="28"/>
      <c r="R139" s="1"/>
      <c r="S139" s="1"/>
      <c r="T139" s="1"/>
      <c r="U139" s="1"/>
      <c r="V139" s="1"/>
      <c r="W139" s="1"/>
      <c r="X139" s="1"/>
      <c r="Y139" s="1"/>
      <c r="Z139" s="1"/>
      <c r="AA139" s="1"/>
      <c r="AB139" s="1"/>
    </row>
    <row r="140" spans="2:28" ht="15.5" thickBot="1">
      <c r="B140" s="180" t="s">
        <v>63</v>
      </c>
      <c r="C140" s="40" t="s">
        <v>76</v>
      </c>
      <c r="D140" s="46">
        <f>D126/'Cost Model_Calculations'!D131</f>
        <v>8.9407633786332021E-3</v>
      </c>
      <c r="E140" s="46">
        <f>E126/'Cost Model_Calculations'!E131</f>
        <v>8.9407633786332021E-3</v>
      </c>
      <c r="F140" s="46">
        <f>F126/'Cost Model_Calculations'!F131</f>
        <v>8.9027175770219971E-3</v>
      </c>
      <c r="G140" s="46">
        <f>G126/'Cost Model_Calculations'!G131</f>
        <v>8.9027175770219971E-3</v>
      </c>
      <c r="H140" s="118">
        <f>H126/'Cost Model_Calculations'!H131</f>
        <v>8.8649941974583441E-3</v>
      </c>
      <c r="I140" s="46">
        <f>I126/'Cost Model_Calculations'!I131</f>
        <v>8.8275891586505027E-3</v>
      </c>
      <c r="J140" s="76">
        <f>J126/'Cost Model_Calculations'!J131</f>
        <v>8.790498447899869E-3</v>
      </c>
      <c r="K140" s="76">
        <f>K126/'Cost Model_Calculations'!K131</f>
        <v>8.790498447899869E-3</v>
      </c>
      <c r="L140" s="76">
        <f>L126/'Cost Model_Calculations'!L131</f>
        <v>8.790498447899869E-3</v>
      </c>
      <c r="M140" s="76">
        <f>M126/'Cost Model_Calculations'!M131</f>
        <v>8.7537181196659791E-3</v>
      </c>
      <c r="N140" s="76">
        <f>N126/'Cost Model_Calculations'!N131</f>
        <v>8.71724429416737E-3</v>
      </c>
      <c r="O140" s="28"/>
      <c r="R140" s="1"/>
      <c r="S140" s="1"/>
      <c r="T140" s="1"/>
      <c r="U140" s="1"/>
      <c r="V140" s="1"/>
      <c r="W140" s="1"/>
      <c r="X140" s="1"/>
      <c r="Y140" s="1"/>
      <c r="Z140" s="1"/>
      <c r="AA140" s="1"/>
      <c r="AB140" s="1"/>
    </row>
    <row r="141" spans="2:28">
      <c r="B141" s="37" t="s">
        <v>87</v>
      </c>
      <c r="C141" s="171" t="s">
        <v>76</v>
      </c>
      <c r="D141" s="55">
        <f>SUM(D135:D140)</f>
        <v>4.6974577717295379E-2</v>
      </c>
      <c r="E141" s="55">
        <f>SUM(E135:E140)</f>
        <v>4.6974577717295379E-2</v>
      </c>
      <c r="F141" s="55">
        <f>SUM(F135:F140)</f>
        <v>4.6892062796917842E-2</v>
      </c>
      <c r="G141" s="55">
        <f>SUM(G135:G140)</f>
        <v>4.6892062796917842E-2</v>
      </c>
      <c r="H141" s="55">
        <f t="shared" ref="H141:N141" si="39">SUM(H135:H140)</f>
        <v>4.6810247155526535E-2</v>
      </c>
      <c r="I141" s="55">
        <f t="shared" si="39"/>
        <v>4.672912194148876E-2</v>
      </c>
      <c r="J141" s="84">
        <f t="shared" si="39"/>
        <v>4.6534516134433483E-2</v>
      </c>
      <c r="K141" s="84">
        <f t="shared" si="39"/>
        <v>4.6420353816928293E-2</v>
      </c>
      <c r="L141" s="84">
        <f t="shared" si="39"/>
        <v>4.6306191499423104E-2</v>
      </c>
      <c r="M141" s="84">
        <f t="shared" si="39"/>
        <v>4.6114169526046161E-2</v>
      </c>
      <c r="N141" s="84">
        <f t="shared" si="39"/>
        <v>4.5923747735780701E-2</v>
      </c>
      <c r="O141" s="28"/>
      <c r="R141" s="1"/>
      <c r="S141" s="1"/>
      <c r="T141" s="1"/>
      <c r="U141" s="1"/>
      <c r="V141" s="1"/>
      <c r="W141" s="1"/>
      <c r="X141" s="1"/>
      <c r="Y141" s="1"/>
      <c r="Z141" s="1"/>
      <c r="AA141" s="1"/>
      <c r="AB141" s="1"/>
    </row>
    <row r="142" spans="2:28">
      <c r="B142" s="33" t="s">
        <v>73</v>
      </c>
      <c r="C142" s="172" t="s">
        <v>76</v>
      </c>
      <c r="D142" s="56">
        <f>D141*0.15</f>
        <v>7.0461866575943066E-3</v>
      </c>
      <c r="E142" s="56">
        <f>E141*0.15</f>
        <v>7.0461866575943066E-3</v>
      </c>
      <c r="F142" s="56">
        <f>F141*0.15</f>
        <v>7.0338094195376757E-3</v>
      </c>
      <c r="G142" s="56">
        <f>G141*0.15</f>
        <v>7.0338094195376757E-3</v>
      </c>
      <c r="H142" s="56">
        <f t="shared" ref="H142:N142" si="40">H141*0.15</f>
        <v>7.0215370733289805E-3</v>
      </c>
      <c r="I142" s="56">
        <f t="shared" si="40"/>
        <v>7.0093682912233139E-3</v>
      </c>
      <c r="J142" s="85">
        <f t="shared" si="40"/>
        <v>6.9801774201650223E-3</v>
      </c>
      <c r="K142" s="85">
        <f t="shared" si="40"/>
        <v>6.963053072539244E-3</v>
      </c>
      <c r="L142" s="85">
        <f t="shared" si="40"/>
        <v>6.9459287249134657E-3</v>
      </c>
      <c r="M142" s="85">
        <f t="shared" si="40"/>
        <v>6.9171254289069244E-3</v>
      </c>
      <c r="N142" s="85">
        <f t="shared" si="40"/>
        <v>6.888562160367105E-3</v>
      </c>
      <c r="O142" s="28"/>
      <c r="R142" s="1"/>
      <c r="S142" s="1"/>
      <c r="T142" s="1"/>
      <c r="U142" s="1"/>
      <c r="V142" s="1"/>
      <c r="W142" s="1"/>
      <c r="X142" s="1"/>
      <c r="Y142" s="1"/>
      <c r="Z142" s="1"/>
      <c r="AA142" s="1"/>
      <c r="AB142" s="1"/>
    </row>
    <row r="143" spans="2:28">
      <c r="B143" s="37" t="s">
        <v>88</v>
      </c>
      <c r="C143" s="172" t="s">
        <v>76</v>
      </c>
      <c r="D143" s="56">
        <f>D141+D142</f>
        <v>5.4020764374889688E-2</v>
      </c>
      <c r="E143" s="56">
        <f>E141+E142</f>
        <v>5.4020764374889688E-2</v>
      </c>
      <c r="F143" s="56">
        <f>F141+F142</f>
        <v>5.392587221645552E-2</v>
      </c>
      <c r="G143" s="56">
        <f>G141+G142</f>
        <v>5.392587221645552E-2</v>
      </c>
      <c r="H143" s="56">
        <f t="shared" ref="H143:N143" si="41">H141+H142</f>
        <v>5.3831784228855518E-2</v>
      </c>
      <c r="I143" s="56">
        <f t="shared" si="41"/>
        <v>5.3738490232712072E-2</v>
      </c>
      <c r="J143" s="85">
        <f t="shared" si="41"/>
        <v>5.3514693554598508E-2</v>
      </c>
      <c r="K143" s="85">
        <f t="shared" si="41"/>
        <v>5.3383406889467536E-2</v>
      </c>
      <c r="L143" s="85">
        <f t="shared" si="41"/>
        <v>5.325212022433657E-2</v>
      </c>
      <c r="M143" s="85">
        <f t="shared" si="41"/>
        <v>5.3031294954953088E-2</v>
      </c>
      <c r="N143" s="85">
        <f t="shared" si="41"/>
        <v>5.2812309896147804E-2</v>
      </c>
      <c r="O143" s="28"/>
      <c r="R143" s="1"/>
      <c r="S143" s="1"/>
      <c r="T143" s="1"/>
      <c r="U143" s="1"/>
      <c r="V143" s="1"/>
      <c r="W143" s="1"/>
      <c r="X143" s="1"/>
      <c r="Y143" s="1"/>
      <c r="Z143" s="1"/>
      <c r="AA143" s="1"/>
      <c r="AB143" s="1"/>
    </row>
    <row r="144" spans="2:28">
      <c r="B144" s="45" t="s">
        <v>75</v>
      </c>
      <c r="C144" s="174" t="s">
        <v>76</v>
      </c>
      <c r="D144" s="163">
        <f>D143+D134</f>
        <v>5.858712398634966E-2</v>
      </c>
      <c r="E144" s="163">
        <f>E143+E134</f>
        <v>5.858712398634966E-2</v>
      </c>
      <c r="F144" s="163">
        <f>F143+F134</f>
        <v>5.8492231827915492E-2</v>
      </c>
      <c r="G144" s="163">
        <f>G143+G134</f>
        <v>5.8492231827915492E-2</v>
      </c>
      <c r="H144" s="163">
        <f t="shared" ref="H144" si="42">H143+H134</f>
        <v>5.8676644809452519E-2</v>
      </c>
      <c r="I144" s="163" cm="1">
        <f t="array" ref="I144">IF(Inputs!$C$49="Domestic", I143 + I134,
IF(AND(Inputs!$C$49="China", OR(Inputs!$C$3="Germany", Inputs!$C$3="India", Inputs!$C$3="Australia", Inputs!$C$3="Vietnam")),
  INDEX(Country_Index!$D$84:$I$87, MATCH(Inputs!$C$3, Country_Index!$C$84:$C$87, 0), COLUMN(A1)),
IF(AND(Inputs!$C$49="Vietnam", Inputs!$C$3="US"),
  INDEX(Country_Index!$D$88:$I$88, 1, COLUMN(A1)),
  NA())))</f>
        <v>5.8574954353656158E-2</v>
      </c>
      <c r="J144" s="164" cm="1">
        <f t="array" ref="J144">IF(Inputs!$C$49="Domestic", J143 + J134,
IF(AND(Inputs!$C$49="China", OR(Inputs!$C$3="Germany", Inputs!$C$3="India", Inputs!$C$3="Australia", Inputs!$C$3="Vietnam")),
  INDEX(Country_Index!$D$84:$I$87, MATCH(Inputs!$C$3, Country_Index!$C$84:$C$87, 0), COLUMN(B1)),
IF(AND(Inputs!$C$49="Vietnam", Inputs!$C$3="US"),
  INDEX(Country_Index!$D$88:$I$88, 1, COLUMN(B1)),
  NA())))</f>
        <v>5.8331015974512374E-2</v>
      </c>
      <c r="K144" s="164" cm="1">
        <f t="array" ref="K144">IF(Inputs!$C$49="Domestic", K143 + K134,
IF(AND(Inputs!$C$49="China", OR(Inputs!$C$3="Germany", Inputs!$C$3="India", Inputs!$C$3="Australia", Inputs!$C$3="Vietnam")),
  INDEX(Country_Index!$D$84:$I$87, MATCH(Inputs!$C$3, Country_Index!$C$84:$C$87, 0), COLUMN(C1)),
IF(AND(Inputs!$C$49="Vietnam", Inputs!$C$3="US"),
  INDEX(Country_Index!$D$88:$I$88, 1, COLUMN(C1)),
  NA())))</f>
        <v>5.8187913509519615E-2</v>
      </c>
      <c r="L144" s="164" cm="1">
        <f t="array" ref="L144">IF(Inputs!$C$49="Domestic", L143 + L134,
IF(AND(Inputs!$C$49="China", OR(Inputs!$C$3="Germany", Inputs!$C$3="India", Inputs!$C$3="Australia", Inputs!$C$3="Vietnam")),
  INDEX(Country_Index!$D$84:$I$87, MATCH(Inputs!$C$3, Country_Index!$C$84:$C$87, 0), COLUMN(D1)),
IF(AND(Inputs!$C$49="Vietnam", Inputs!$C$3="US"),
  INDEX(Country_Index!$D$88:$I$88, 1, COLUMN(D1)),
  NA())))</f>
        <v>5.8044811044526863E-2</v>
      </c>
      <c r="M144" s="164" cm="1">
        <f t="array" ref="M144">IF(Inputs!$C$49="Domestic", M143 + M134,
IF(AND(Inputs!$C$49="China", OR(Inputs!$C$3="Germany", Inputs!$C$3="India", Inputs!$C$3="Australia", Inputs!$C$3="Vietnam")),
  INDEX(Country_Index!$D$84:$I$87, MATCH(Inputs!$C$3, Country_Index!$C$84:$C$87, 0), COLUMN(E1)),
IF(AND(Inputs!$C$49="Vietnam", Inputs!$C$3="US"),
  INDEX(Country_Index!$D$88:$I$88, 1, COLUMN(E1)),
  NA())))</f>
        <v>5.7804111500898869E-2</v>
      </c>
      <c r="N144" s="164" cm="1">
        <f t="array" ref="N144">IF(Inputs!$C$49="Domestic", N143 + N134,
IF(AND(Inputs!$C$49="China", OR(Inputs!$C$3="Germany", Inputs!$C$3="India", Inputs!$C$3="Australia", Inputs!$C$3="Vietnam")),
  INDEX(Country_Index!$D$84:$I$87, MATCH(Inputs!$C$3, Country_Index!$C$84:$C$87, 0), COLUMN(F1)),
IF(AND(Inputs!$C$49="Vietnam", Inputs!$C$3="US"),
  INDEX(Country_Index!$D$88:$I$88, 1, COLUMN(F1)),
  NA())))</f>
        <v>5.7565417786801104E-2</v>
      </c>
      <c r="O144" s="28"/>
      <c r="R144" s="1"/>
      <c r="S144" s="1"/>
      <c r="T144" s="1"/>
      <c r="U144" s="1"/>
      <c r="V144" s="1"/>
      <c r="W144" s="1"/>
      <c r="X144" s="1"/>
      <c r="Y144" s="1"/>
      <c r="Z144" s="1"/>
      <c r="AA144" s="1"/>
      <c r="AB144" s="1"/>
    </row>
    <row r="145" spans="2:28">
      <c r="C145" s="3"/>
      <c r="D145" s="3"/>
      <c r="E145" s="3"/>
      <c r="F145" s="3"/>
      <c r="G145" s="3"/>
      <c r="H145" s="3"/>
      <c r="I145" s="3"/>
      <c r="J145" s="3"/>
      <c r="K145" s="3"/>
      <c r="L145" s="3"/>
      <c r="M145" s="3"/>
      <c r="N145" s="3"/>
      <c r="O145" s="28"/>
    </row>
    <row r="146" spans="2:28">
      <c r="B146" s="5" t="s">
        <v>89</v>
      </c>
      <c r="C146" s="3"/>
      <c r="D146" s="6">
        <v>2020</v>
      </c>
      <c r="E146" s="6">
        <v>2021</v>
      </c>
      <c r="F146" s="6">
        <v>2022</v>
      </c>
      <c r="G146" s="6">
        <v>2023</v>
      </c>
      <c r="H146" s="6">
        <v>2024</v>
      </c>
      <c r="I146" s="6">
        <v>2025</v>
      </c>
      <c r="J146" s="7">
        <v>2026</v>
      </c>
      <c r="K146" s="7">
        <v>2027</v>
      </c>
      <c r="L146" s="7">
        <v>2028</v>
      </c>
      <c r="M146" s="7">
        <v>2029</v>
      </c>
      <c r="N146" s="7">
        <v>2030</v>
      </c>
      <c r="O146" s="28"/>
      <c r="R146" s="1"/>
      <c r="S146" s="1"/>
      <c r="T146" s="1"/>
      <c r="U146" s="1"/>
      <c r="V146" s="1"/>
      <c r="W146" s="1"/>
      <c r="X146" s="1"/>
      <c r="Y146" s="1"/>
      <c r="Z146" s="1"/>
      <c r="AA146" s="1"/>
      <c r="AB146" s="1"/>
    </row>
    <row r="147" spans="2:28">
      <c r="B147" s="17" t="s">
        <v>66</v>
      </c>
      <c r="C147" s="18" t="s">
        <v>90</v>
      </c>
      <c r="D147" s="8">
        <v>5.2999999999999999E-2</v>
      </c>
      <c r="E147" s="8">
        <v>5.2999999999999999E-2</v>
      </c>
      <c r="F147" s="8">
        <v>5.2999999999999999E-2</v>
      </c>
      <c r="G147" s="8">
        <v>5.2999999999999999E-2</v>
      </c>
      <c r="H147" s="8">
        <v>5.2999999999999999E-2</v>
      </c>
      <c r="I147" s="8">
        <v>5.2999999999999999E-2</v>
      </c>
      <c r="J147" s="58">
        <v>5.2999999999999999E-2</v>
      </c>
      <c r="K147" s="58">
        <v>0.05</v>
      </c>
      <c r="L147" s="58">
        <v>4.4999999999999998E-2</v>
      </c>
      <c r="M147" s="58">
        <v>0.04</v>
      </c>
      <c r="N147" s="58">
        <v>3.5000000000000003E-2</v>
      </c>
      <c r="O147" s="28"/>
      <c r="R147" s="1"/>
      <c r="S147" s="1"/>
      <c r="T147" s="1"/>
      <c r="U147" s="1"/>
      <c r="V147" s="1"/>
      <c r="W147" s="1"/>
      <c r="X147" s="1"/>
      <c r="Y147" s="1"/>
      <c r="Z147" s="1"/>
      <c r="AA147" s="1"/>
      <c r="AB147" s="1"/>
    </row>
    <row r="148" spans="2:28">
      <c r="B148" s="17" t="s">
        <v>63</v>
      </c>
      <c r="C148" s="18" t="s">
        <v>76</v>
      </c>
      <c r="D148" s="50">
        <f t="shared" ref="D148:N148" si="43">0.035/D131</f>
        <v>4.515537059915759E-3</v>
      </c>
      <c r="E148" s="50">
        <f t="shared" si="43"/>
        <v>4.515537059915759E-3</v>
      </c>
      <c r="F148" s="50">
        <f t="shared" si="43"/>
        <v>4.4963220085969691E-3</v>
      </c>
      <c r="G148" s="50">
        <f t="shared" si="43"/>
        <v>4.4963220085969691E-3</v>
      </c>
      <c r="H148" s="50">
        <f t="shared" si="43"/>
        <v>4.4772697966961343E-3</v>
      </c>
      <c r="I148" s="50">
        <f t="shared" si="43"/>
        <v>4.4583783629547997E-3</v>
      </c>
      <c r="J148" s="75">
        <f t="shared" si="43"/>
        <v>4.4396456807575101E-3</v>
      </c>
      <c r="K148" s="75">
        <f t="shared" si="43"/>
        <v>4.4396456807575101E-3</v>
      </c>
      <c r="L148" s="75">
        <f t="shared" si="43"/>
        <v>4.4396456807575101E-3</v>
      </c>
      <c r="M148" s="75">
        <f t="shared" si="43"/>
        <v>4.4210697574070612E-3</v>
      </c>
      <c r="N148" s="75">
        <f t="shared" si="43"/>
        <v>4.4026486334178645E-3</v>
      </c>
      <c r="O148" s="28"/>
      <c r="R148" s="1"/>
      <c r="S148" s="1"/>
      <c r="T148" s="1"/>
      <c r="U148" s="1"/>
      <c r="V148" s="1"/>
      <c r="W148" s="1"/>
      <c r="X148" s="1"/>
      <c r="Y148" s="1"/>
      <c r="Z148" s="1"/>
      <c r="AA148" s="1"/>
      <c r="AB148" s="1"/>
    </row>
    <row r="149" spans="2:28">
      <c r="B149" s="17" t="s">
        <v>58</v>
      </c>
      <c r="C149" s="18" t="s">
        <v>27</v>
      </c>
      <c r="D149" s="42">
        <f>Inputs!$F$23</f>
        <v>4000000000</v>
      </c>
      <c r="E149" s="42">
        <f>Inputs!$F$23</f>
        <v>4000000000</v>
      </c>
      <c r="F149" s="42">
        <f>Inputs!$F$23</f>
        <v>4000000000</v>
      </c>
      <c r="G149" s="42">
        <f>Inputs!$F$23</f>
        <v>4000000000</v>
      </c>
      <c r="H149" s="42">
        <f>Inputs!$F$23</f>
        <v>4000000000</v>
      </c>
      <c r="I149" s="42">
        <f>Inputs!$F$23</f>
        <v>4000000000</v>
      </c>
      <c r="J149" s="111">
        <f>Inputs!$F$23</f>
        <v>4000000000</v>
      </c>
      <c r="K149" s="111">
        <f>Inputs!$F$23</f>
        <v>4000000000</v>
      </c>
      <c r="L149" s="111">
        <f>Inputs!$F$24</f>
        <v>6000000000</v>
      </c>
      <c r="M149" s="111">
        <f>Inputs!$F$24</f>
        <v>6000000000</v>
      </c>
      <c r="N149" s="111">
        <f>Inputs!$F$24</f>
        <v>6000000000</v>
      </c>
      <c r="O149" s="28"/>
      <c r="R149" s="1"/>
      <c r="S149" s="1"/>
      <c r="T149" s="1"/>
      <c r="U149" s="1"/>
      <c r="V149" s="1"/>
      <c r="W149" s="1"/>
      <c r="X149" s="1"/>
      <c r="Y149" s="1"/>
      <c r="Z149" s="1"/>
      <c r="AA149" s="1"/>
      <c r="AB149" s="1"/>
    </row>
    <row r="150" spans="2:28">
      <c r="B150" s="60" t="s">
        <v>83</v>
      </c>
      <c r="C150" s="18" t="s">
        <v>60</v>
      </c>
      <c r="D150" s="42">
        <v>0.24199999999999999</v>
      </c>
      <c r="E150" s="42">
        <v>0.24399999999999999</v>
      </c>
      <c r="F150" s="42">
        <v>0.246</v>
      </c>
      <c r="G150" s="42">
        <v>0.248</v>
      </c>
      <c r="H150" s="42">
        <v>0.25</v>
      </c>
      <c r="I150" s="42">
        <v>0.253</v>
      </c>
      <c r="J150" s="75">
        <v>0.255</v>
      </c>
      <c r="K150" s="75">
        <v>0.25700000000000001</v>
      </c>
      <c r="L150" s="75">
        <v>0.25800000000000001</v>
      </c>
      <c r="M150" s="75">
        <v>0.26</v>
      </c>
      <c r="N150" s="75">
        <v>0.26</v>
      </c>
      <c r="O150" s="28"/>
      <c r="R150" s="1"/>
      <c r="S150" s="1"/>
      <c r="T150" s="1"/>
      <c r="U150" s="1"/>
      <c r="V150" s="1"/>
      <c r="W150" s="1"/>
      <c r="X150" s="1"/>
      <c r="Y150" s="1"/>
      <c r="Z150" s="1"/>
      <c r="AA150" s="1"/>
      <c r="AB150" s="1"/>
    </row>
    <row r="151" spans="2:28">
      <c r="B151" s="17" t="s">
        <v>91</v>
      </c>
      <c r="C151" s="18" t="s">
        <v>92</v>
      </c>
      <c r="D151" s="43">
        <f>(0.000074*D152)/D131</f>
        <v>8.1437065798857858E-3</v>
      </c>
      <c r="E151" s="43">
        <f>(0.000074*E152)/E131</f>
        <v>8.1437065798857858E-3</v>
      </c>
      <c r="F151" s="43">
        <f>(0.000074*F152)/F131</f>
        <v>8.1090525093330812E-3</v>
      </c>
      <c r="G151" s="43">
        <f>(0.000074*G152)/G131</f>
        <v>8.1090525093330812E-3</v>
      </c>
      <c r="H151" s="43">
        <f>(0.000074*H152)/H131</f>
        <v>8.0746921173443804E-3</v>
      </c>
      <c r="I151" s="43">
        <f>(0.00007*I152)/I131</f>
        <v>7.6059934872008865E-3</v>
      </c>
      <c r="J151" s="74">
        <f>(0.000065*J152)/J131</f>
        <v>7.0330329934171461E-3</v>
      </c>
      <c r="K151" s="74">
        <f>(0.000065*K152)/K131</f>
        <v>7.0330329934171461E-3</v>
      </c>
      <c r="L151" s="74">
        <f>(0.00006*L152)/L131</f>
        <v>6.4920304554619817E-3</v>
      </c>
      <c r="M151" s="74">
        <f>(0.000059*M152)/M131</f>
        <v>6.3571193623150031E-3</v>
      </c>
      <c r="N151" s="74">
        <f>(0.000058*N152)/N131</f>
        <v>6.223332528277583E-3</v>
      </c>
      <c r="O151" s="145"/>
      <c r="R151" s="1"/>
      <c r="S151" s="1"/>
      <c r="T151" s="1"/>
      <c r="U151" s="1"/>
      <c r="V151" s="1"/>
      <c r="W151" s="1"/>
      <c r="X151" s="1"/>
      <c r="Y151" s="1"/>
      <c r="Z151" s="1"/>
      <c r="AA151" s="1"/>
      <c r="AB151" s="1"/>
    </row>
    <row r="152" spans="2:28">
      <c r="B152" s="17" t="s">
        <v>93</v>
      </c>
      <c r="C152" s="18" t="s">
        <v>22</v>
      </c>
      <c r="D152" s="42">
        <f>Assumptions!$D$36</f>
        <v>853</v>
      </c>
      <c r="E152" s="42">
        <f>Assumptions!$D$36</f>
        <v>853</v>
      </c>
      <c r="F152" s="42">
        <f>Assumptions!$D$36</f>
        <v>853</v>
      </c>
      <c r="G152" s="42">
        <f>Assumptions!$D$36</f>
        <v>853</v>
      </c>
      <c r="H152" s="42">
        <f>Assumptions!$D$36</f>
        <v>853</v>
      </c>
      <c r="I152" s="42">
        <f>Assumptions!$D$36</f>
        <v>853</v>
      </c>
      <c r="J152" s="111">
        <f>Assumptions!$D$36</f>
        <v>853</v>
      </c>
      <c r="K152" s="111">
        <f>Assumptions!$D$36</f>
        <v>853</v>
      </c>
      <c r="L152" s="111">
        <f>Assumptions!$D$36</f>
        <v>853</v>
      </c>
      <c r="M152" s="111">
        <f>Assumptions!$D$36</f>
        <v>853</v>
      </c>
      <c r="N152" s="111">
        <f>Assumptions!$D$36</f>
        <v>853</v>
      </c>
      <c r="O152" s="28"/>
      <c r="R152" s="1"/>
      <c r="S152" s="1"/>
      <c r="T152" s="1"/>
      <c r="U152" s="1"/>
      <c r="V152" s="1"/>
      <c r="W152" s="1"/>
      <c r="X152" s="1"/>
      <c r="Y152" s="1"/>
      <c r="Z152" s="1"/>
      <c r="AA152" s="1"/>
      <c r="AB152" s="1"/>
    </row>
    <row r="153" spans="2:28">
      <c r="O153" s="28"/>
      <c r="R153" s="1"/>
      <c r="S153" s="1"/>
      <c r="T153" s="1"/>
      <c r="U153" s="1"/>
      <c r="V153" s="1"/>
      <c r="W153" s="1"/>
      <c r="X153" s="1"/>
      <c r="Y153" s="1"/>
      <c r="Z153" s="1"/>
      <c r="AA153" s="1"/>
      <c r="AB153" s="1"/>
    </row>
    <row r="154" spans="2:28">
      <c r="B154" s="5" t="s">
        <v>89</v>
      </c>
      <c r="C154" s="3"/>
      <c r="D154" s="6">
        <v>2020</v>
      </c>
      <c r="E154" s="6">
        <v>2021</v>
      </c>
      <c r="F154" s="6">
        <v>2022</v>
      </c>
      <c r="G154" s="6">
        <v>2023</v>
      </c>
      <c r="H154" s="6">
        <v>2024</v>
      </c>
      <c r="I154" s="6">
        <v>2025</v>
      </c>
      <c r="J154" s="7">
        <v>2026</v>
      </c>
      <c r="K154" s="7">
        <v>2027</v>
      </c>
      <c r="L154" s="7">
        <v>2028</v>
      </c>
      <c r="M154" s="7">
        <v>2029</v>
      </c>
      <c r="N154" s="7">
        <v>2030</v>
      </c>
      <c r="O154" s="28"/>
      <c r="R154" s="1"/>
      <c r="S154" s="1"/>
      <c r="T154" s="1"/>
      <c r="U154" s="1"/>
      <c r="V154" s="1"/>
      <c r="W154" s="1"/>
      <c r="X154" s="1"/>
      <c r="Y154" s="1"/>
      <c r="Z154" s="1"/>
      <c r="AA154" s="1"/>
      <c r="AB154" s="1"/>
    </row>
    <row r="155" spans="2:28">
      <c r="B155" s="17" t="s">
        <v>65</v>
      </c>
      <c r="C155" s="18" t="s">
        <v>76</v>
      </c>
      <c r="D155" s="8">
        <f>(((D149*0.9)*H164)/'Cost Model_Calculations'!D149)*Assumptions!$E$37</f>
        <v>4.9914905581031933E-3</v>
      </c>
      <c r="E155" s="8">
        <f>(((E149*0.9)*H164)/'Cost Model_Calculations'!E149)*Assumptions!$E$37</f>
        <v>4.9914905581031933E-3</v>
      </c>
      <c r="F155" s="8">
        <f>(((F149*0.9)*H164)/'Cost Model_Calculations'!F149)*Assumptions!$E$37</f>
        <v>4.9914905581031933E-3</v>
      </c>
      <c r="G155" s="8">
        <f>(((G149*0.9)*H164)/'Cost Model_Calculations'!G149)*Assumptions!$E$37</f>
        <v>4.9914905581031933E-3</v>
      </c>
      <c r="H155" s="8">
        <f>(((H149*0.9)*H164)/'Cost Model_Calculations'!H149)*Assumptions!$E$37</f>
        <v>4.9914905581031933E-3</v>
      </c>
      <c r="I155" s="8">
        <f>(((I149*0.9)*I164)/'Cost Model_Calculations'!I149)*Assumptions!$E$37</f>
        <v>4.9410249864911132E-3</v>
      </c>
      <c r="J155" s="58">
        <f>(((J149*0.9)*J164)/'Cost Model_Calculations'!J149)*Assumptions!$E$37</f>
        <v>4.8797847427770775E-3</v>
      </c>
      <c r="K155" s="58">
        <f>(((K149*0.9)*K164)/'Cost Model_Calculations'!K149)*Assumptions!$E$37</f>
        <v>4.8518397427770787E-3</v>
      </c>
      <c r="L155" s="58">
        <f>(((L149*0.9)*L164)/'Cost Model_Calculations'!L149)*Assumptions!$E$37</f>
        <v>4.7492709800987173E-3</v>
      </c>
      <c r="M155" s="58">
        <f>(((M149*0.9)*M164)/'Cost Model_Calculations'!M149)*Assumptions!$E$37</f>
        <v>4.6868100738912339E-3</v>
      </c>
      <c r="N155" s="58">
        <f>(((N149*0.9)*N164)/'Cost Model_Calculations'!N149)*Assumptions!$E$37</f>
        <v>4.6244815502354793E-3</v>
      </c>
      <c r="O155" s="28"/>
      <c r="R155" s="1"/>
      <c r="S155" s="1"/>
      <c r="T155" s="1"/>
      <c r="U155" s="1"/>
      <c r="V155" s="1"/>
      <c r="W155" s="1"/>
      <c r="X155" s="1"/>
      <c r="Y155" s="1"/>
      <c r="Z155" s="1"/>
      <c r="AA155" s="1"/>
      <c r="AB155" s="1"/>
    </row>
    <row r="156" spans="2:28">
      <c r="B156" s="17" t="s">
        <v>66</v>
      </c>
      <c r="C156" s="18" t="s">
        <v>76</v>
      </c>
      <c r="D156" s="52">
        <f>D147*Inputs!$F$58</f>
        <v>4.7699999999999999E-3</v>
      </c>
      <c r="E156" s="52">
        <f>E147*Inputs!$F$58</f>
        <v>4.7699999999999999E-3</v>
      </c>
      <c r="F156" s="52">
        <f>F147*Inputs!$F$58</f>
        <v>4.7699999999999999E-3</v>
      </c>
      <c r="G156" s="52">
        <f>G147*Inputs!$F$58</f>
        <v>4.7699999999999999E-3</v>
      </c>
      <c r="H156" s="52">
        <f>H147*Inputs!$F$58</f>
        <v>4.7699999999999999E-3</v>
      </c>
      <c r="I156" s="52">
        <f>I147*Inputs!$F$58</f>
        <v>4.7699999999999999E-3</v>
      </c>
      <c r="J156" s="124">
        <f>J147*Inputs!$F$58</f>
        <v>4.7699999999999999E-3</v>
      </c>
      <c r="K156" s="124">
        <f>K147*Inputs!$F$58</f>
        <v>4.4999999999999997E-3</v>
      </c>
      <c r="L156" s="124">
        <f>L147*Inputs!$F$58</f>
        <v>4.0499999999999998E-3</v>
      </c>
      <c r="M156" s="124">
        <f>M147*Inputs!$F$58</f>
        <v>3.5999999999999999E-3</v>
      </c>
      <c r="N156" s="124">
        <f>N147*Inputs!$F$58</f>
        <v>3.15E-3</v>
      </c>
      <c r="O156" s="28"/>
      <c r="R156" s="1"/>
      <c r="S156" s="1"/>
      <c r="T156" s="1"/>
      <c r="U156" s="1"/>
      <c r="V156" s="1"/>
      <c r="W156" s="1"/>
      <c r="X156" s="1"/>
      <c r="Y156" s="1"/>
      <c r="Z156" s="1"/>
      <c r="AA156" s="1"/>
      <c r="AB156" s="1"/>
    </row>
    <row r="157" spans="2:28">
      <c r="B157" s="17" t="s">
        <v>67</v>
      </c>
      <c r="C157" s="18" t="s">
        <v>76</v>
      </c>
      <c r="D157" s="43">
        <f>(Inputs!$F$61/Assumptions!$E$33)/1000</f>
        <v>2.5000000000000001E-3</v>
      </c>
      <c r="E157" s="43">
        <f>(Inputs!$F$61/Assumptions!$E$33)/1000</f>
        <v>2.5000000000000001E-3</v>
      </c>
      <c r="F157" s="43">
        <f>(Inputs!$F$61/Assumptions!$E$33)/1000</f>
        <v>2.5000000000000001E-3</v>
      </c>
      <c r="G157" s="43">
        <f>(Inputs!$F$61/Assumptions!$E$33)/1000</f>
        <v>2.5000000000000001E-3</v>
      </c>
      <c r="H157" s="43">
        <f>(Inputs!$F$61/Assumptions!$E$33)/1000</f>
        <v>2.5000000000000001E-3</v>
      </c>
      <c r="I157" s="43">
        <f>(Inputs!$F$61/Assumptions!$E$33)/1000</f>
        <v>2.5000000000000001E-3</v>
      </c>
      <c r="J157" s="74">
        <f>(Inputs!$F$61/Assumptions!$E$33)/1000</f>
        <v>2.5000000000000001E-3</v>
      </c>
      <c r="K157" s="74">
        <f>(Inputs!$F$61/Assumptions!$E$33)/1000</f>
        <v>2.5000000000000001E-3</v>
      </c>
      <c r="L157" s="74">
        <f>(Inputs!$F$61/Assumptions!$E$33)/1000</f>
        <v>2.5000000000000001E-3</v>
      </c>
      <c r="M157" s="74">
        <f>(Inputs!$F$61/Assumptions!$E$33)/1000</f>
        <v>2.5000000000000001E-3</v>
      </c>
      <c r="N157" s="74">
        <f>(Inputs!$F$61/Assumptions!$E$33)/1000</f>
        <v>2.5000000000000001E-3</v>
      </c>
      <c r="O157" s="28"/>
      <c r="R157" s="1"/>
      <c r="S157" s="1"/>
      <c r="T157" s="1"/>
      <c r="U157" s="1"/>
      <c r="V157" s="1"/>
      <c r="W157" s="1"/>
      <c r="X157" s="1"/>
      <c r="Y157" s="1"/>
      <c r="Z157" s="1"/>
      <c r="AA157" s="1"/>
      <c r="AB157" s="1"/>
    </row>
    <row r="158" spans="2:28">
      <c r="B158" s="17" t="s">
        <v>68</v>
      </c>
      <c r="C158" s="18" t="s">
        <v>76</v>
      </c>
      <c r="D158" s="43">
        <f>(Inputs!$F$56/Assumptions!$E$32)/1000</f>
        <v>0.01</v>
      </c>
      <c r="E158" s="43">
        <f>(Inputs!$F$56/Assumptions!$E$32)/1000</f>
        <v>0.01</v>
      </c>
      <c r="F158" s="43">
        <f>(Inputs!$F$56/Assumptions!$E$32)/1000</f>
        <v>0.01</v>
      </c>
      <c r="G158" s="43">
        <f>(Inputs!$F$56/Assumptions!$E$32)/1000</f>
        <v>0.01</v>
      </c>
      <c r="H158" s="43">
        <f>(Inputs!$F$56/Assumptions!$E$32)/1000</f>
        <v>0.01</v>
      </c>
      <c r="I158" s="43">
        <f>(Inputs!$F$56/Assumptions!$E$32)/1000</f>
        <v>0.01</v>
      </c>
      <c r="J158" s="74">
        <f>(Inputs!$F$56/Assumptions!$E$32)/1000</f>
        <v>0.01</v>
      </c>
      <c r="K158" s="74">
        <f>(Inputs!$F$56/Assumptions!$E$32)/1000</f>
        <v>0.01</v>
      </c>
      <c r="L158" s="74">
        <f>(Inputs!$F$56/Assumptions!$E$32)/1000</f>
        <v>0.01</v>
      </c>
      <c r="M158" s="74">
        <f>(Inputs!$F$56/Assumptions!$E$32)/1000</f>
        <v>0.01</v>
      </c>
      <c r="N158" s="74">
        <f>(Inputs!$F$56/Assumptions!$E$32)/1000</f>
        <v>0.01</v>
      </c>
      <c r="O158" s="28"/>
      <c r="R158" s="1"/>
      <c r="S158" s="1"/>
      <c r="T158" s="1"/>
      <c r="U158" s="1"/>
      <c r="V158" s="1"/>
      <c r="W158" s="1"/>
      <c r="X158" s="1"/>
      <c r="Y158" s="1"/>
      <c r="Z158" s="1"/>
      <c r="AA158" s="1"/>
      <c r="AB158" s="1"/>
    </row>
    <row r="159" spans="2:28">
      <c r="B159" s="17" t="s">
        <v>69</v>
      </c>
      <c r="C159" s="181" t="s">
        <v>76</v>
      </c>
      <c r="D159" s="175">
        <f>Assumptions!$E$34/100*(Inputs!$F$56+Inputs!$F$61)/1000</f>
        <v>4.0000000000000001E-3</v>
      </c>
      <c r="E159" s="175">
        <f>Assumptions!$E$34/100*(Inputs!$F$56+Inputs!$F$61)/1000</f>
        <v>4.0000000000000001E-3</v>
      </c>
      <c r="F159" s="175">
        <f>Assumptions!$E$34/100*(Inputs!$F$56+Inputs!$F$61)/1000</f>
        <v>4.0000000000000001E-3</v>
      </c>
      <c r="G159" s="175">
        <f>Assumptions!$E$34/100*(Inputs!$F$56+Inputs!$F$61)/1000</f>
        <v>4.0000000000000001E-3</v>
      </c>
      <c r="H159" s="44">
        <f>Assumptions!$E$34/100*(Inputs!$F$56+Inputs!$F$61)/1000</f>
        <v>4.0000000000000001E-3</v>
      </c>
      <c r="I159" s="44">
        <f>Assumptions!$E$34/100*(Inputs!$F$56+Inputs!$F$61)/1000</f>
        <v>4.0000000000000001E-3</v>
      </c>
      <c r="J159" s="75">
        <f>Assumptions!$E$34/100*(Inputs!$F$56+Inputs!$F$61)/1000</f>
        <v>4.0000000000000001E-3</v>
      </c>
      <c r="K159" s="75">
        <f>Assumptions!$E$34/100*(Inputs!$F$56+Inputs!$F$61)/1000</f>
        <v>4.0000000000000001E-3</v>
      </c>
      <c r="L159" s="75">
        <f>Assumptions!$E$34/100*(Inputs!$F$56+Inputs!$F$61)/1000</f>
        <v>4.0000000000000001E-3</v>
      </c>
      <c r="M159" s="75">
        <f>Assumptions!$E$34/100*(Inputs!$F$56+Inputs!$F$61)/1000</f>
        <v>4.0000000000000001E-3</v>
      </c>
      <c r="N159" s="75">
        <f>Assumptions!$E$34/100*(Inputs!$F$56+Inputs!$F$61)/1000</f>
        <v>4.0000000000000001E-3</v>
      </c>
      <c r="O159" s="28"/>
      <c r="R159" s="1"/>
      <c r="S159" s="1"/>
      <c r="T159" s="1"/>
      <c r="U159" s="1"/>
      <c r="V159" s="1"/>
      <c r="W159" s="1"/>
      <c r="X159" s="1"/>
      <c r="Y159" s="1"/>
      <c r="Z159" s="1"/>
      <c r="AA159" s="1"/>
      <c r="AB159" s="1"/>
    </row>
    <row r="160" spans="2:28">
      <c r="B160" s="182" t="s">
        <v>70</v>
      </c>
      <c r="C160" s="18" t="s">
        <v>76</v>
      </c>
      <c r="D160" s="43">
        <f>Inputs!$F$59*Assumptions!$E$38</f>
        <v>1.4405000000000001E-2</v>
      </c>
      <c r="E160" s="43">
        <f>Inputs!$F$59*Assumptions!$E$38</f>
        <v>1.4405000000000001E-2</v>
      </c>
      <c r="F160" s="43">
        <f>Inputs!$F$59*Assumptions!$E$38</f>
        <v>1.4405000000000001E-2</v>
      </c>
      <c r="G160" s="43">
        <f>Inputs!$F$59*Assumptions!$E$38</f>
        <v>1.4405000000000001E-2</v>
      </c>
      <c r="H160" s="52">
        <f>Inputs!$F$59*Assumptions!$E$38</f>
        <v>1.4405000000000001E-2</v>
      </c>
      <c r="I160" s="43">
        <f>Inputs!$F$59*Assumptions!$E$38</f>
        <v>1.4405000000000001E-2</v>
      </c>
      <c r="J160" s="74">
        <f>Inputs!$F$59*Assumptions!$E$38</f>
        <v>1.4405000000000001E-2</v>
      </c>
      <c r="K160" s="74">
        <f>Inputs!$F$59*Assumptions!$E$38</f>
        <v>1.4405000000000001E-2</v>
      </c>
      <c r="L160" s="74">
        <f>Inputs!$F$59*Assumptions!$E$38</f>
        <v>1.4405000000000001E-2</v>
      </c>
      <c r="M160" s="74">
        <f>Inputs!$F$59*Assumptions!$E$38</f>
        <v>1.4405000000000001E-2</v>
      </c>
      <c r="N160" s="74">
        <f>Inputs!$F$59*Assumptions!$E$38</f>
        <v>1.4405000000000001E-2</v>
      </c>
      <c r="O160" s="28"/>
      <c r="R160" s="1"/>
      <c r="S160" s="1"/>
      <c r="T160" s="1"/>
      <c r="U160" s="1"/>
      <c r="V160" s="1"/>
      <c r="W160" s="1"/>
      <c r="X160" s="1"/>
      <c r="Y160" s="1"/>
      <c r="Z160" s="1"/>
      <c r="AA160" s="1"/>
      <c r="AB160" s="1"/>
    </row>
    <row r="161" spans="2:28" ht="15.5" thickBot="1">
      <c r="B161" s="180" t="s">
        <v>112</v>
      </c>
      <c r="C161" s="128" t="s">
        <v>76</v>
      </c>
      <c r="D161" s="129">
        <f t="shared" ref="D161:N161" si="44">D148+D151</f>
        <v>1.2659243639801546E-2</v>
      </c>
      <c r="E161" s="129">
        <f t="shared" si="44"/>
        <v>1.2659243639801546E-2</v>
      </c>
      <c r="F161" s="129">
        <f t="shared" si="44"/>
        <v>1.260537451793005E-2</v>
      </c>
      <c r="G161" s="129">
        <f t="shared" si="44"/>
        <v>1.260537451793005E-2</v>
      </c>
      <c r="H161" s="183">
        <f t="shared" si="44"/>
        <v>1.2551961914040514E-2</v>
      </c>
      <c r="I161" s="129">
        <f t="shared" si="44"/>
        <v>1.2064371850155686E-2</v>
      </c>
      <c r="J161" s="76">
        <f>J148+J151</f>
        <v>1.1472678674174657E-2</v>
      </c>
      <c r="K161" s="76">
        <f t="shared" si="44"/>
        <v>1.1472678674174657E-2</v>
      </c>
      <c r="L161" s="76">
        <f t="shared" si="44"/>
        <v>1.0931676136219492E-2</v>
      </c>
      <c r="M161" s="76">
        <f t="shared" si="44"/>
        <v>1.0778189119722064E-2</v>
      </c>
      <c r="N161" s="76">
        <f t="shared" si="44"/>
        <v>1.0625981161695448E-2</v>
      </c>
      <c r="O161" s="28"/>
      <c r="R161" s="1"/>
      <c r="S161" s="1"/>
      <c r="T161" s="1"/>
      <c r="U161" s="1"/>
      <c r="V161" s="1"/>
      <c r="W161" s="1"/>
      <c r="X161" s="1"/>
      <c r="Y161" s="1"/>
      <c r="Z161" s="1"/>
      <c r="AA161" s="1"/>
      <c r="AB161" s="1"/>
    </row>
    <row r="162" spans="2:28">
      <c r="B162" s="37" t="s">
        <v>87</v>
      </c>
      <c r="C162" s="171" t="s">
        <v>76</v>
      </c>
      <c r="D162" s="55">
        <f>SUM(D156:D161)</f>
        <v>4.8334243639801544E-2</v>
      </c>
      <c r="E162" s="55">
        <f>SUM(E156:E161)</f>
        <v>4.8334243639801544E-2</v>
      </c>
      <c r="F162" s="55">
        <f>SUM(F156:F161)</f>
        <v>4.8280374517930047E-2</v>
      </c>
      <c r="G162" s="55">
        <f>SUM(G156:G161)</f>
        <v>4.8280374517930047E-2</v>
      </c>
      <c r="H162" s="55">
        <f t="shared" ref="H162:N162" si="45">SUM(H156:H161)</f>
        <v>4.8226961914040509E-2</v>
      </c>
      <c r="I162" s="55">
        <f t="shared" si="45"/>
        <v>4.7739371850155685E-2</v>
      </c>
      <c r="J162" s="84">
        <f t="shared" si="45"/>
        <v>4.7147678674174659E-2</v>
      </c>
      <c r="K162" s="84">
        <f t="shared" si="45"/>
        <v>4.6877678674174666E-2</v>
      </c>
      <c r="L162" s="84">
        <f t="shared" si="45"/>
        <v>4.5886676136219495E-2</v>
      </c>
      <c r="M162" s="84">
        <f t="shared" si="45"/>
        <v>4.5283189119722067E-2</v>
      </c>
      <c r="N162" s="84">
        <f t="shared" si="45"/>
        <v>4.468098116169545E-2</v>
      </c>
      <c r="O162" s="28"/>
      <c r="R162" s="1"/>
      <c r="S162" s="1"/>
      <c r="T162" s="1"/>
      <c r="U162" s="1"/>
      <c r="V162" s="1"/>
      <c r="W162" s="1"/>
      <c r="X162" s="1"/>
      <c r="Y162" s="1"/>
      <c r="Z162" s="1"/>
      <c r="AA162" s="1"/>
      <c r="AB162" s="1"/>
    </row>
    <row r="163" spans="2:28">
      <c r="B163" s="33" t="s">
        <v>73</v>
      </c>
      <c r="C163" s="171" t="s">
        <v>76</v>
      </c>
      <c r="D163" s="56">
        <f>D162*0.15</f>
        <v>7.2501365459702316E-3</v>
      </c>
      <c r="E163" s="56">
        <f>E162*0.15</f>
        <v>7.2501365459702316E-3</v>
      </c>
      <c r="F163" s="56">
        <f>F162*0.15</f>
        <v>7.2420561776895065E-3</v>
      </c>
      <c r="G163" s="56">
        <f>G162*0.15</f>
        <v>7.2420561776895065E-3</v>
      </c>
      <c r="H163" s="56">
        <f>H162*0.15</f>
        <v>7.2340442871060761E-3</v>
      </c>
      <c r="I163" s="56">
        <f t="shared" ref="I163:N163" si="46">I162*0.15</f>
        <v>7.1609057775233525E-3</v>
      </c>
      <c r="J163" s="85">
        <f t="shared" si="46"/>
        <v>7.0721518011261988E-3</v>
      </c>
      <c r="K163" s="85">
        <f t="shared" si="46"/>
        <v>7.0316518011262E-3</v>
      </c>
      <c r="L163" s="85">
        <f t="shared" si="46"/>
        <v>6.8830014204329243E-3</v>
      </c>
      <c r="M163" s="85">
        <f t="shared" si="46"/>
        <v>6.7924783679583099E-3</v>
      </c>
      <c r="N163" s="85">
        <f t="shared" si="46"/>
        <v>6.702147174254317E-3</v>
      </c>
      <c r="O163" s="28"/>
      <c r="R163" s="1"/>
      <c r="S163" s="1"/>
      <c r="T163" s="1"/>
      <c r="U163" s="1"/>
      <c r="V163" s="1"/>
      <c r="W163" s="1"/>
      <c r="X163" s="1"/>
      <c r="Y163" s="1"/>
      <c r="Z163" s="1"/>
      <c r="AA163" s="1"/>
      <c r="AB163" s="1"/>
    </row>
    <row r="164" spans="2:28">
      <c r="B164" s="37" t="s">
        <v>74</v>
      </c>
      <c r="C164" s="171" t="s">
        <v>76</v>
      </c>
      <c r="D164" s="56">
        <f>D163+D162</f>
        <v>5.5584380185771776E-2</v>
      </c>
      <c r="E164" s="56">
        <f>E163+E162</f>
        <v>5.5584380185771776E-2</v>
      </c>
      <c r="F164" s="56">
        <f>F163+F162</f>
        <v>5.5522430695619553E-2</v>
      </c>
      <c r="G164" s="56">
        <f>G163+G162</f>
        <v>5.5522430695619553E-2</v>
      </c>
      <c r="H164" s="56">
        <f>H163+H162</f>
        <v>5.5461006201146586E-2</v>
      </c>
      <c r="I164" s="56">
        <f t="shared" ref="I164:N164" si="47">I163+I162</f>
        <v>5.4900277627679038E-2</v>
      </c>
      <c r="J164" s="85">
        <f t="shared" si="47"/>
        <v>5.4219830475300858E-2</v>
      </c>
      <c r="K164" s="85">
        <f t="shared" si="47"/>
        <v>5.3909330475300866E-2</v>
      </c>
      <c r="L164" s="85">
        <f t="shared" si="47"/>
        <v>5.276967755665242E-2</v>
      </c>
      <c r="M164" s="85">
        <f t="shared" si="47"/>
        <v>5.2075667487680374E-2</v>
      </c>
      <c r="N164" s="85">
        <f t="shared" si="47"/>
        <v>5.1383128335949768E-2</v>
      </c>
      <c r="O164" s="28"/>
      <c r="R164" s="1"/>
      <c r="S164" s="1"/>
      <c r="T164" s="1"/>
      <c r="U164" s="1"/>
      <c r="V164" s="1"/>
      <c r="W164" s="1"/>
      <c r="X164" s="1"/>
      <c r="Y164" s="1"/>
      <c r="Z164" s="1"/>
      <c r="AA164" s="1"/>
      <c r="AB164" s="1"/>
    </row>
    <row r="165" spans="2:28">
      <c r="B165" s="45" t="s">
        <v>75</v>
      </c>
      <c r="C165" s="174" t="s">
        <v>76</v>
      </c>
      <c r="D165" s="163">
        <f>D164+D155</f>
        <v>6.0575870743874966E-2</v>
      </c>
      <c r="E165" s="163">
        <f>E164+E155</f>
        <v>6.0575870743874966E-2</v>
      </c>
      <c r="F165" s="163">
        <f>F164+F155</f>
        <v>6.0513921253722749E-2</v>
      </c>
      <c r="G165" s="163">
        <f>G164+G155</f>
        <v>6.0513921253722749E-2</v>
      </c>
      <c r="H165" s="163">
        <f t="shared" ref="H165" si="48">H164+H155</f>
        <v>6.0452496759249782E-2</v>
      </c>
      <c r="I165" s="163" cm="1">
        <f t="array" ref="I165">IF(Inputs!$C$50="Domestic", I164 + I155,
IF(AND(Inputs!$C$50="China", OR(Inputs!$C$3="Germany", Inputs!$C$3="India", Inputs!$C$3="Australia", Inputs!$C$3="Vietnam")),
  INDEX(Country_Index!$D$92:$I$95, MATCH(Inputs!$C$3, Country_Index!$C$92:$C$95, 0), COLUMN(A1)),
IF(AND(Inputs!$C$50="Vietnam", Inputs!$C$3="US"),
  INDEX(Country_Index!$D$96:$I$96, 1, COLUMN(A1)),
  NA())))</f>
        <v>5.9841302614170151E-2</v>
      </c>
      <c r="J165" s="164" cm="1">
        <f t="array" ref="J165">IF(Inputs!$C$50="Domestic", J164 + J155,
IF(AND(Inputs!$C$50="China", OR(Inputs!$C$3="Germany", Inputs!$C$3="India", Inputs!$C$3="Australia", Inputs!$C$3="Vietnam")),
  INDEX(Country_Index!$D$92:$I$95, MATCH(Inputs!$C$3, Country_Index!$C$92:$C$95, 0), COLUMN(B1)),
IF(AND(Inputs!$C$50="Vietnam", Inputs!$C$3="US"),
  INDEX(Country_Index!$D$96:$I$96, 1, COLUMN(B1)),
  NA())))</f>
        <v>5.9099615218077939E-2</v>
      </c>
      <c r="K165" s="164" cm="1">
        <f t="array" ref="K165">IF(Inputs!$C$50="Domestic", K164 + K155,
IF(AND(Inputs!$C$50="China", OR(Inputs!$C$3="Germany", Inputs!$C$3="India", Inputs!$C$3="Australia", Inputs!$C$3="Vietnam")),
  INDEX(Country_Index!$D$92:$I$95, MATCH(Inputs!$C$3, Country_Index!$C$92:$C$95, 0), COLUMN(C1)),
IF(AND(Inputs!$C$50="Vietnam", Inputs!$C$3="US"),
  INDEX(Country_Index!$D$96:$I$96, 1, COLUMN(C1)),
  NA())))</f>
        <v>5.8761170218077946E-2</v>
      </c>
      <c r="L165" s="164" cm="1">
        <f t="array" ref="L165">IF(Inputs!$C$50="Domestic", L164 + L155,
IF(AND(Inputs!$C$50="China", OR(Inputs!$C$3="Germany", Inputs!$C$3="India", Inputs!$C$3="Australia", Inputs!$C$3="Vietnam")),
  INDEX(Country_Index!$D$92:$I$95, MATCH(Inputs!$C$3, Country_Index!$C$92:$C$95, 0), COLUMN(D1)),
IF(AND(Inputs!$C$50="Vietnam", Inputs!$C$3="US"),
  INDEX(Country_Index!$D$96:$I$96, 1, COLUMN(D1)),
  NA())))</f>
        <v>5.7518948536751137E-2</v>
      </c>
      <c r="M165" s="164" cm="1">
        <f t="array" ref="M165">IF(Inputs!$C$50="Domestic", M164 + M155,
IF(AND(Inputs!$C$50="China", OR(Inputs!$C$3="Germany", Inputs!$C$3="India", Inputs!$C$3="Australia", Inputs!$C$3="Vietnam")),
  INDEX(Country_Index!$D$92:$I$95, MATCH(Inputs!$C$3, Country_Index!$C$92:$C$95, 0), COLUMN(E1)),
IF(AND(Inputs!$C$50="Vietnam", Inputs!$C$3="US"),
  INDEX(Country_Index!$D$96:$I$96, 1, COLUMN(E1)),
  NA())))</f>
        <v>5.6762477561571607E-2</v>
      </c>
      <c r="N165" s="164" cm="1">
        <f t="array" ref="N165">IF(Inputs!$C$50="Domestic", N164 + N155,
IF(AND(Inputs!$C$50="China", OR(Inputs!$C$3="Germany", Inputs!$C$3="India", Inputs!$C$3="Australia", Inputs!$C$3="Vietnam")),
  INDEX(Country_Index!$D$92:$I$95, MATCH(Inputs!$C$3, Country_Index!$C$92:$C$95, 0), COLUMN(F1)),
IF(AND(Inputs!$C$50="Vietnam", Inputs!$C$3="US"),
  INDEX(Country_Index!$D$96:$I$96, 1, COLUMN(F1)),
  NA())))</f>
        <v>5.600760988618525E-2</v>
      </c>
      <c r="O165" s="28"/>
      <c r="R165" s="1"/>
      <c r="S165" s="1"/>
      <c r="T165" s="1"/>
      <c r="U165" s="1"/>
      <c r="V165" s="1"/>
      <c r="W165" s="1"/>
      <c r="X165" s="1"/>
      <c r="Y165" s="1"/>
      <c r="Z165" s="1"/>
      <c r="AA165" s="1"/>
      <c r="AB165" s="1"/>
    </row>
    <row r="166" spans="2:28">
      <c r="C166" s="3"/>
      <c r="D166" s="19"/>
      <c r="E166" s="19"/>
      <c r="F166" s="19"/>
      <c r="G166" s="19"/>
      <c r="H166" s="19"/>
      <c r="I166" s="19"/>
      <c r="J166" s="19"/>
      <c r="K166" s="19"/>
      <c r="L166" s="19"/>
      <c r="M166" s="19"/>
      <c r="N166" s="19"/>
      <c r="O166" s="28"/>
      <c r="R166" s="1"/>
      <c r="S166" s="1"/>
      <c r="T166" s="1"/>
      <c r="U166" s="1"/>
      <c r="V166" s="1"/>
      <c r="W166" s="1"/>
      <c r="X166" s="1"/>
      <c r="Y166" s="1"/>
      <c r="Z166" s="1"/>
      <c r="AA166" s="1"/>
      <c r="AB166" s="1"/>
    </row>
    <row r="167" spans="2:28">
      <c r="B167" s="5" t="s">
        <v>95</v>
      </c>
      <c r="C167" s="3"/>
      <c r="D167" s="6">
        <v>2020</v>
      </c>
      <c r="E167" s="6">
        <v>2021</v>
      </c>
      <c r="F167" s="6">
        <v>2022</v>
      </c>
      <c r="G167" s="6">
        <v>2023</v>
      </c>
      <c r="H167" s="6">
        <v>2024</v>
      </c>
      <c r="I167" s="6">
        <v>2025</v>
      </c>
      <c r="J167" s="7">
        <v>2026</v>
      </c>
      <c r="K167" s="7">
        <v>2027</v>
      </c>
      <c r="L167" s="7">
        <v>2028</v>
      </c>
      <c r="M167" s="7">
        <v>2029</v>
      </c>
      <c r="N167" s="7">
        <v>2030</v>
      </c>
      <c r="O167" s="28"/>
      <c r="R167" s="1"/>
      <c r="S167" s="1"/>
      <c r="T167" s="1"/>
      <c r="U167" s="1"/>
      <c r="V167" s="1"/>
      <c r="W167" s="1"/>
      <c r="X167" s="1"/>
      <c r="Y167" s="1"/>
      <c r="Z167" s="1"/>
      <c r="AA167" s="1"/>
      <c r="AB167" s="1"/>
    </row>
    <row r="168" spans="2:28">
      <c r="B168" s="49" t="s">
        <v>66</v>
      </c>
      <c r="C168" s="18" t="s">
        <v>90</v>
      </c>
      <c r="D168" s="8">
        <f>Assumptions!$E$45</f>
        <v>2.5000000000000001E-2</v>
      </c>
      <c r="E168" s="8">
        <f>Assumptions!$E$45</f>
        <v>2.5000000000000001E-2</v>
      </c>
      <c r="F168" s="8">
        <f>Assumptions!$E$45</f>
        <v>2.5000000000000001E-2</v>
      </c>
      <c r="G168" s="8">
        <f>Assumptions!$E$45</f>
        <v>2.5000000000000001E-2</v>
      </c>
      <c r="H168" s="8">
        <f>Assumptions!$E$45</f>
        <v>2.5000000000000001E-2</v>
      </c>
      <c r="I168" s="8">
        <f>Assumptions!$E$45</f>
        <v>2.5000000000000001E-2</v>
      </c>
      <c r="J168" s="58">
        <v>2.4500000000000001E-2</v>
      </c>
      <c r="K168" s="58">
        <v>2.4500000000000001E-2</v>
      </c>
      <c r="L168" s="58">
        <v>2.4E-2</v>
      </c>
      <c r="M168" s="58">
        <v>2.4E-2</v>
      </c>
      <c r="N168" s="58">
        <v>2.3E-2</v>
      </c>
      <c r="O168" s="28"/>
      <c r="R168" s="1"/>
      <c r="S168" s="1"/>
      <c r="T168" s="1"/>
      <c r="U168" s="1"/>
      <c r="V168" s="1"/>
      <c r="W168" s="1"/>
      <c r="X168" s="1"/>
      <c r="Y168" s="1"/>
      <c r="Z168" s="1"/>
      <c r="AA168" s="1"/>
      <c r="AB168" s="1"/>
    </row>
    <row r="169" spans="2:28">
      <c r="B169" s="49" t="s">
        <v>97</v>
      </c>
      <c r="C169" s="18" t="s">
        <v>98</v>
      </c>
      <c r="D169" s="8">
        <v>66</v>
      </c>
      <c r="E169" s="8">
        <v>66</v>
      </c>
      <c r="F169" s="8">
        <v>66</v>
      </c>
      <c r="G169" s="8">
        <v>66</v>
      </c>
      <c r="H169" s="8">
        <v>66</v>
      </c>
      <c r="I169" s="8">
        <v>66</v>
      </c>
      <c r="J169" s="58">
        <v>66</v>
      </c>
      <c r="K169" s="58">
        <v>66</v>
      </c>
      <c r="L169" s="58">
        <v>66</v>
      </c>
      <c r="M169" s="58">
        <v>66</v>
      </c>
      <c r="N169" s="58">
        <v>66</v>
      </c>
      <c r="O169" s="28"/>
      <c r="R169" s="1"/>
      <c r="S169" s="1"/>
      <c r="T169" s="1"/>
      <c r="U169" s="1"/>
      <c r="V169" s="1"/>
      <c r="W169" s="1"/>
      <c r="X169" s="1"/>
      <c r="Y169" s="1"/>
      <c r="Z169" s="1"/>
      <c r="AA169" s="1"/>
      <c r="AB169" s="1"/>
    </row>
    <row r="170" spans="2:28">
      <c r="B170" s="49" t="s">
        <v>113</v>
      </c>
      <c r="C170" s="18" t="s">
        <v>100</v>
      </c>
      <c r="D170" s="8">
        <f t="shared" ref="D170:N170" si="49">0.182*0.182</f>
        <v>3.3124000000000001E-2</v>
      </c>
      <c r="E170" s="8">
        <f t="shared" si="49"/>
        <v>3.3124000000000001E-2</v>
      </c>
      <c r="F170" s="8">
        <f t="shared" si="49"/>
        <v>3.3124000000000001E-2</v>
      </c>
      <c r="G170" s="8">
        <f t="shared" si="49"/>
        <v>3.3124000000000001E-2</v>
      </c>
      <c r="H170" s="8">
        <f t="shared" si="49"/>
        <v>3.3124000000000001E-2</v>
      </c>
      <c r="I170" s="8">
        <f t="shared" si="49"/>
        <v>3.3124000000000001E-2</v>
      </c>
      <c r="J170" s="58">
        <f t="shared" si="49"/>
        <v>3.3124000000000001E-2</v>
      </c>
      <c r="K170" s="58">
        <f t="shared" si="49"/>
        <v>3.3124000000000001E-2</v>
      </c>
      <c r="L170" s="58">
        <f t="shared" si="49"/>
        <v>3.3124000000000001E-2</v>
      </c>
      <c r="M170" s="58">
        <f t="shared" si="49"/>
        <v>3.3124000000000001E-2</v>
      </c>
      <c r="N170" s="58">
        <f t="shared" si="49"/>
        <v>3.3124000000000001E-2</v>
      </c>
      <c r="O170" s="28"/>
      <c r="R170" s="1"/>
      <c r="S170" s="1"/>
      <c r="T170" s="1"/>
      <c r="U170" s="1"/>
      <c r="V170" s="1"/>
      <c r="W170" s="1"/>
      <c r="X170" s="1"/>
      <c r="Y170" s="1"/>
      <c r="Z170" s="1"/>
      <c r="AA170" s="1"/>
      <c r="AB170" s="1"/>
    </row>
    <row r="171" spans="2:28">
      <c r="B171" s="49" t="s">
        <v>101</v>
      </c>
      <c r="C171" s="18" t="s">
        <v>60</v>
      </c>
      <c r="D171" s="86">
        <f t="shared" ref="D171:N171" si="50">D150</f>
        <v>0.24199999999999999</v>
      </c>
      <c r="E171" s="86">
        <f t="shared" si="50"/>
        <v>0.24399999999999999</v>
      </c>
      <c r="F171" s="86">
        <f t="shared" si="50"/>
        <v>0.246</v>
      </c>
      <c r="G171" s="86">
        <f t="shared" si="50"/>
        <v>0.248</v>
      </c>
      <c r="H171" s="86">
        <f t="shared" si="50"/>
        <v>0.25</v>
      </c>
      <c r="I171" s="86">
        <f t="shared" si="50"/>
        <v>0.253</v>
      </c>
      <c r="J171" s="62">
        <f t="shared" si="50"/>
        <v>0.255</v>
      </c>
      <c r="K171" s="62">
        <f t="shared" si="50"/>
        <v>0.25700000000000001</v>
      </c>
      <c r="L171" s="62">
        <f t="shared" si="50"/>
        <v>0.25800000000000001</v>
      </c>
      <c r="M171" s="62">
        <f t="shared" si="50"/>
        <v>0.26</v>
      </c>
      <c r="N171" s="85">
        <f t="shared" si="50"/>
        <v>0.26</v>
      </c>
      <c r="O171" s="28"/>
      <c r="R171" s="1"/>
      <c r="S171" s="1"/>
      <c r="T171" s="1"/>
      <c r="U171" s="1"/>
      <c r="V171" s="1"/>
      <c r="W171" s="1"/>
      <c r="X171" s="1"/>
      <c r="Y171" s="1"/>
      <c r="Z171" s="1"/>
      <c r="AA171" s="1"/>
      <c r="AB171" s="1"/>
    </row>
    <row r="172" spans="2:28">
      <c r="B172" s="49" t="s">
        <v>102</v>
      </c>
      <c r="C172" s="18" t="s">
        <v>103</v>
      </c>
      <c r="D172" s="50">
        <f t="shared" ref="D172:N172" si="51">D131</f>
        <v>7.7510159999999999</v>
      </c>
      <c r="E172" s="50">
        <f t="shared" si="51"/>
        <v>7.7510159999999999</v>
      </c>
      <c r="F172" s="50">
        <f t="shared" si="51"/>
        <v>7.7841399999999989</v>
      </c>
      <c r="G172" s="50">
        <f t="shared" si="51"/>
        <v>7.7841399999999989</v>
      </c>
      <c r="H172" s="50">
        <f t="shared" si="51"/>
        <v>7.8172639999999989</v>
      </c>
      <c r="I172" s="50">
        <f t="shared" si="51"/>
        <v>7.8503879999999997</v>
      </c>
      <c r="J172" s="73">
        <f t="shared" si="51"/>
        <v>7.8835120000000005</v>
      </c>
      <c r="K172" s="73">
        <f t="shared" si="51"/>
        <v>7.8835120000000005</v>
      </c>
      <c r="L172" s="73">
        <f t="shared" si="51"/>
        <v>7.8835120000000005</v>
      </c>
      <c r="M172" s="73">
        <f t="shared" si="51"/>
        <v>7.9166359999999996</v>
      </c>
      <c r="N172" s="73">
        <f t="shared" si="51"/>
        <v>7.9497600000000004</v>
      </c>
      <c r="O172" s="28"/>
      <c r="R172" s="1"/>
      <c r="S172" s="1"/>
      <c r="T172" s="1"/>
      <c r="U172" s="1"/>
      <c r="V172" s="1"/>
      <c r="W172" s="1"/>
      <c r="X172" s="1"/>
      <c r="Y172" s="1"/>
      <c r="Z172" s="1"/>
      <c r="AA172" s="1"/>
      <c r="AB172" s="1"/>
    </row>
    <row r="173" spans="2:28">
      <c r="B173" s="49" t="s">
        <v>104</v>
      </c>
      <c r="C173" s="18" t="s">
        <v>105</v>
      </c>
      <c r="D173" s="117">
        <f t="shared" ref="D173:N173" si="52">(D170*1000*D169)*D171</f>
        <v>529.05652800000007</v>
      </c>
      <c r="E173" s="117">
        <f t="shared" si="52"/>
        <v>533.42889600000001</v>
      </c>
      <c r="F173" s="117">
        <f t="shared" si="52"/>
        <v>537.80126400000006</v>
      </c>
      <c r="G173" s="117">
        <f t="shared" si="52"/>
        <v>542.173632</v>
      </c>
      <c r="H173" s="117">
        <f t="shared" si="52"/>
        <v>546.54600000000005</v>
      </c>
      <c r="I173" s="117">
        <f t="shared" si="52"/>
        <v>553.10455200000001</v>
      </c>
      <c r="J173" s="126">
        <f t="shared" si="52"/>
        <v>557.47692000000006</v>
      </c>
      <c r="K173" s="126">
        <f t="shared" si="52"/>
        <v>561.84928800000012</v>
      </c>
      <c r="L173" s="126">
        <f t="shared" si="52"/>
        <v>564.03547200000003</v>
      </c>
      <c r="M173" s="126">
        <f t="shared" si="52"/>
        <v>568.40784000000008</v>
      </c>
      <c r="N173" s="126">
        <f t="shared" si="52"/>
        <v>568.40784000000008</v>
      </c>
      <c r="O173" s="28"/>
      <c r="R173" s="1"/>
      <c r="S173" s="1"/>
      <c r="T173" s="1"/>
      <c r="U173" s="1"/>
      <c r="V173" s="1"/>
      <c r="W173" s="1"/>
      <c r="X173" s="1"/>
      <c r="Y173" s="1"/>
      <c r="Z173" s="1"/>
      <c r="AA173" s="1"/>
      <c r="AB173" s="1"/>
    </row>
    <row r="174" spans="2:28">
      <c r="B174" s="49" t="s">
        <v>58</v>
      </c>
      <c r="C174" s="18" t="s">
        <v>27</v>
      </c>
      <c r="D174" s="115">
        <f>Inputs!$F$53</f>
        <v>4000000000</v>
      </c>
      <c r="E174" s="115">
        <f>Inputs!$F$53</f>
        <v>4000000000</v>
      </c>
      <c r="F174" s="115">
        <f>Inputs!$F$53</f>
        <v>4000000000</v>
      </c>
      <c r="G174" s="115">
        <f>Inputs!$F$53</f>
        <v>4000000000</v>
      </c>
      <c r="H174" s="115">
        <f>Inputs!$F$53</f>
        <v>4000000000</v>
      </c>
      <c r="I174" s="115">
        <f>Inputs!$F$53</f>
        <v>4000000000</v>
      </c>
      <c r="J174" s="111">
        <f>Inputs!$F$53</f>
        <v>4000000000</v>
      </c>
      <c r="K174" s="111">
        <f>Inputs!$F$53</f>
        <v>4000000000</v>
      </c>
      <c r="L174" s="116">
        <f>Inputs!$F$54</f>
        <v>6000000000</v>
      </c>
      <c r="M174" s="116">
        <f>Inputs!$F$54</f>
        <v>6000000000</v>
      </c>
      <c r="N174" s="116">
        <f>Inputs!$F$54</f>
        <v>6000000000</v>
      </c>
      <c r="O174" s="28"/>
      <c r="R174" s="1"/>
      <c r="S174" s="1"/>
      <c r="T174" s="1"/>
      <c r="U174" s="1"/>
      <c r="V174" s="1"/>
      <c r="W174" s="1"/>
      <c r="X174" s="1"/>
      <c r="Y174" s="1"/>
      <c r="Z174" s="1"/>
      <c r="AA174" s="1"/>
      <c r="AB174" s="1"/>
    </row>
    <row r="175" spans="2:28">
      <c r="O175" s="28"/>
      <c r="R175" s="1"/>
      <c r="S175" s="1"/>
      <c r="T175" s="1"/>
      <c r="U175" s="1"/>
      <c r="V175" s="1"/>
      <c r="W175" s="1"/>
      <c r="X175" s="1"/>
      <c r="Y175" s="1"/>
      <c r="Z175" s="1"/>
      <c r="AA175" s="1"/>
      <c r="AB175" s="1"/>
    </row>
    <row r="176" spans="2:28">
      <c r="B176" s="5" t="s">
        <v>95</v>
      </c>
      <c r="C176" s="3"/>
      <c r="D176" s="6">
        <v>2020</v>
      </c>
      <c r="E176" s="6">
        <v>2021</v>
      </c>
      <c r="F176" s="6">
        <v>2022</v>
      </c>
      <c r="G176" s="6">
        <v>2023</v>
      </c>
      <c r="H176" s="6">
        <v>2024</v>
      </c>
      <c r="I176" s="122">
        <v>2025</v>
      </c>
      <c r="J176" s="122">
        <v>2026</v>
      </c>
      <c r="K176" s="122">
        <v>2027</v>
      </c>
      <c r="L176" s="122">
        <v>2028</v>
      </c>
      <c r="M176" s="122">
        <v>2029</v>
      </c>
      <c r="N176" s="122">
        <v>2030</v>
      </c>
      <c r="O176" s="28"/>
      <c r="R176" s="1"/>
      <c r="S176" s="1"/>
      <c r="T176" s="1"/>
      <c r="U176" s="1"/>
      <c r="V176" s="1"/>
      <c r="W176" s="1"/>
      <c r="X176" s="1"/>
      <c r="Y176" s="1"/>
      <c r="Z176" s="1"/>
      <c r="AA176" s="1"/>
      <c r="AB176" s="1"/>
    </row>
    <row r="177" spans="2:28">
      <c r="B177" s="17" t="s">
        <v>65</v>
      </c>
      <c r="C177" s="18" t="s">
        <v>76</v>
      </c>
      <c r="D177" s="52">
        <f>(((D174*0.9)*'Cost Model_Calculations'!$H$91)/'Cost Model_Calculations'!D174)*Assumptions!$E$47</f>
        <v>8.9877330000000012E-3</v>
      </c>
      <c r="E177" s="52">
        <f>(((E174*0.9)*'Cost Model_Calculations'!$H$91)/'Cost Model_Calculations'!E174)*Assumptions!$E$47</f>
        <v>8.9877330000000012E-3</v>
      </c>
      <c r="F177" s="52">
        <f>(((F174*0.9)*'Cost Model_Calculations'!$H$91)/'Cost Model_Calculations'!F174)*Assumptions!$E$47</f>
        <v>8.9877330000000012E-3</v>
      </c>
      <c r="G177" s="52">
        <f>(((G174*0.9)*'Cost Model_Calculations'!$H$91)/'Cost Model_Calculations'!G174)*Assumptions!$E$47</f>
        <v>8.9877330000000012E-3</v>
      </c>
      <c r="H177" s="121">
        <f>(((H174*0.9)*H187)/'Cost Model_Calculations'!H174)*Assumptions!$E$47</f>
        <v>8.3977830000000007E-3</v>
      </c>
      <c r="I177" s="43">
        <f>(((I174*0.9)*I187)/'Cost Model_Calculations'!I174)*Assumptions!$E$47</f>
        <v>8.7807330000000006E-3</v>
      </c>
      <c r="J177" s="74">
        <f>(((J174*0.9)*J187)/'Cost Model_Calculations'!J174)*Assumptions!$E$47</f>
        <v>8.7760754999999992E-3</v>
      </c>
      <c r="K177" s="74">
        <f>(((K174*0.9)*K187)/'Cost Model_Calculations'!K174)*Assumptions!$E$47</f>
        <v>8.7760754999999992E-3</v>
      </c>
      <c r="L177" s="74">
        <f>(((L174*0.9)*L187)/'Cost Model_Calculations'!L174)*Assumptions!$E$47</f>
        <v>8.8956180000000027E-3</v>
      </c>
      <c r="M177" s="74">
        <f>(((M174*0.9)*M187)/'Cost Model_Calculations'!M174)*Assumptions!$E$47</f>
        <v>8.8956180000000027E-3</v>
      </c>
      <c r="N177" s="74">
        <f>(((N174*0.9)*N187)/'Cost Model_Calculations'!N174)*Assumptions!$E$47</f>
        <v>8.8863030000000016E-3</v>
      </c>
      <c r="O177" s="28"/>
      <c r="R177" s="1"/>
      <c r="S177" s="1"/>
      <c r="T177" s="1"/>
      <c r="U177" s="1"/>
      <c r="V177" s="1"/>
      <c r="W177" s="1"/>
      <c r="X177" s="1"/>
      <c r="Y177" s="1"/>
      <c r="Z177" s="1"/>
      <c r="AA177" s="1"/>
      <c r="AB177" s="1"/>
    </row>
    <row r="178" spans="2:28">
      <c r="B178" s="17" t="s">
        <v>66</v>
      </c>
      <c r="C178" s="18" t="s">
        <v>76</v>
      </c>
      <c r="D178" s="51">
        <f>D168*Inputs!$F$58</f>
        <v>2.2499999999999998E-3</v>
      </c>
      <c r="E178" s="51">
        <f>E168*Inputs!$F$58</f>
        <v>2.2499999999999998E-3</v>
      </c>
      <c r="F178" s="51">
        <f>F168*Inputs!$F$58</f>
        <v>2.2499999999999998E-3</v>
      </c>
      <c r="G178" s="51">
        <f>G168*Inputs!$F$58</f>
        <v>2.2499999999999998E-3</v>
      </c>
      <c r="H178" s="121">
        <f>H168*Inputs!$F$58</f>
        <v>2.2499999999999998E-3</v>
      </c>
      <c r="I178" s="43">
        <f>I168*Inputs!$F$58</f>
        <v>2.2499999999999998E-3</v>
      </c>
      <c r="J178" s="74">
        <f>J168*Inputs!$F$58</f>
        <v>2.2049999999999999E-3</v>
      </c>
      <c r="K178" s="74">
        <f>K168*Inputs!$F$58</f>
        <v>2.2049999999999999E-3</v>
      </c>
      <c r="L178" s="74">
        <f>L168*Inputs!$F$58</f>
        <v>2.16E-3</v>
      </c>
      <c r="M178" s="74">
        <f>M168*Inputs!$F$58</f>
        <v>2.16E-3</v>
      </c>
      <c r="N178" s="74">
        <f>N168*Inputs!$F$58</f>
        <v>2.0699999999999998E-3</v>
      </c>
      <c r="O178" s="28"/>
      <c r="R178" s="1"/>
      <c r="S178" s="1"/>
      <c r="T178" s="1"/>
      <c r="U178" s="1"/>
      <c r="V178" s="1"/>
      <c r="W178" s="1"/>
      <c r="X178" s="1"/>
      <c r="Y178" s="1"/>
      <c r="Z178" s="1"/>
      <c r="AA178" s="1"/>
      <c r="AB178" s="1"/>
    </row>
    <row r="179" spans="2:28">
      <c r="B179" s="17" t="s">
        <v>67</v>
      </c>
      <c r="C179" s="18" t="s">
        <v>76</v>
      </c>
      <c r="D179" s="51">
        <f>(Inputs!$F$62/Assumptions!$E$43)/1000</f>
        <v>1.5E-3</v>
      </c>
      <c r="E179" s="51">
        <f>(Inputs!$F$62/Assumptions!$E$43)/1000</f>
        <v>1.5E-3</v>
      </c>
      <c r="F179" s="51">
        <f>(Inputs!$F$62/Assumptions!$E$43)/1000</f>
        <v>1.5E-3</v>
      </c>
      <c r="G179" s="51">
        <f>(Inputs!$F$62/Assumptions!$E$43)/1000</f>
        <v>1.5E-3</v>
      </c>
      <c r="H179" s="121">
        <f>(Inputs!$F$62/Assumptions!$E$43)/1000</f>
        <v>1.5E-3</v>
      </c>
      <c r="I179" s="43">
        <f>(Inputs!$F$62/Assumptions!$E$43)/1000</f>
        <v>1.5E-3</v>
      </c>
      <c r="J179" s="74">
        <f>(Inputs!$F$62/Assumptions!$E$43)/1000</f>
        <v>1.5E-3</v>
      </c>
      <c r="K179" s="74">
        <f>(Inputs!$F$62/Assumptions!$E$43)/1000</f>
        <v>1.5E-3</v>
      </c>
      <c r="L179" s="74">
        <f>(Inputs!$F$62/Assumptions!$E$43)/1000</f>
        <v>1.5E-3</v>
      </c>
      <c r="M179" s="74">
        <f>(Inputs!$F$62/Assumptions!$E$43)/1000</f>
        <v>1.5E-3</v>
      </c>
      <c r="N179" s="74">
        <f>(Inputs!$F$62/Assumptions!$E$43)/1000</f>
        <v>1.5E-3</v>
      </c>
      <c r="O179" s="28"/>
      <c r="R179" s="1"/>
      <c r="S179" s="1"/>
      <c r="T179" s="1"/>
      <c r="U179" s="1"/>
      <c r="V179" s="1"/>
      <c r="W179" s="1"/>
      <c r="X179" s="1"/>
      <c r="Y179" s="1"/>
      <c r="Z179" s="1"/>
      <c r="AA179" s="1"/>
      <c r="AB179" s="1"/>
    </row>
    <row r="180" spans="2:28">
      <c r="B180" s="17" t="s">
        <v>68</v>
      </c>
      <c r="C180" s="18" t="s">
        <v>76</v>
      </c>
      <c r="D180" s="8">
        <f>(Inputs!$F$57/Assumptions!$E$42)/1000</f>
        <v>4.0000000000000001E-3</v>
      </c>
      <c r="E180" s="8">
        <f>(Inputs!$F$57/Assumptions!$E$42)/1000</f>
        <v>4.0000000000000001E-3</v>
      </c>
      <c r="F180" s="8">
        <f>(Inputs!$F$57/Assumptions!$E$42)/1000</f>
        <v>4.0000000000000001E-3</v>
      </c>
      <c r="G180" s="8">
        <f>(Inputs!$F$57/Assumptions!$E$42)/1000</f>
        <v>4.0000000000000001E-3</v>
      </c>
      <c r="H180" s="121">
        <f>(Inputs!$F$57/Assumptions!$E$42)/1000</f>
        <v>4.0000000000000001E-3</v>
      </c>
      <c r="I180" s="43">
        <f>(Inputs!$F$57/Assumptions!$E$42)/1000</f>
        <v>4.0000000000000001E-3</v>
      </c>
      <c r="J180" s="74">
        <f>(Inputs!$F$57/Assumptions!$E$42)/1000</f>
        <v>4.0000000000000001E-3</v>
      </c>
      <c r="K180" s="74">
        <f>(Inputs!$F$57/Assumptions!$E$42)/1000</f>
        <v>4.0000000000000001E-3</v>
      </c>
      <c r="L180" s="74">
        <f>(Inputs!$F$57/Assumptions!$E$42)/1000</f>
        <v>4.0000000000000001E-3</v>
      </c>
      <c r="M180" s="74">
        <f>(Inputs!$F$57/Assumptions!$E$42)/1000</f>
        <v>4.0000000000000001E-3</v>
      </c>
      <c r="N180" s="74">
        <f>(Inputs!$F$57/Assumptions!$E$42)/1000</f>
        <v>4.0000000000000001E-3</v>
      </c>
      <c r="O180" s="28"/>
      <c r="R180" s="1"/>
      <c r="S180" s="1"/>
      <c r="T180" s="1"/>
      <c r="U180" s="1"/>
      <c r="V180" s="1"/>
      <c r="W180" s="1"/>
      <c r="X180" s="1"/>
      <c r="Y180" s="1"/>
      <c r="Z180" s="1"/>
      <c r="AA180" s="1"/>
      <c r="AB180" s="1"/>
    </row>
    <row r="181" spans="2:28">
      <c r="B181" s="17" t="s">
        <v>69</v>
      </c>
      <c r="C181" s="18" t="s">
        <v>76</v>
      </c>
      <c r="D181" s="8">
        <f>Assumptions!$E$44/100*(Inputs!$F$57+Inputs!$F$62)/1000</f>
        <v>2E-3</v>
      </c>
      <c r="E181" s="8">
        <f>Assumptions!$E$44/100*(Inputs!$F$57+Inputs!$F$62)/1000</f>
        <v>2E-3</v>
      </c>
      <c r="F181" s="8">
        <f>Assumptions!$E$44/100*(Inputs!$F$57+Inputs!$F$62)/1000</f>
        <v>2E-3</v>
      </c>
      <c r="G181" s="8">
        <f>Assumptions!$E$44/100*(Inputs!$F$57+Inputs!$F$62)/1000</f>
        <v>2E-3</v>
      </c>
      <c r="H181" s="121">
        <f>Assumptions!$E$44/100*(Inputs!$F$57+Inputs!$F$62)/1000</f>
        <v>2E-3</v>
      </c>
      <c r="I181" s="43">
        <f>Assumptions!$E$44/100*(Inputs!$F$57+Inputs!$F$62)/1000</f>
        <v>2E-3</v>
      </c>
      <c r="J181" s="74">
        <f>Assumptions!$E$44/100*(Inputs!$F$57+Inputs!$F$62)/1000</f>
        <v>2E-3</v>
      </c>
      <c r="K181" s="74">
        <f>Assumptions!$E$44/100*(Inputs!$F$57+Inputs!$F$62)/1000</f>
        <v>2E-3</v>
      </c>
      <c r="L181" s="74">
        <f>Assumptions!$E$44/100*(Inputs!$F$57+Inputs!$F$62)/1000</f>
        <v>2E-3</v>
      </c>
      <c r="M181" s="74">
        <f>Assumptions!$E$44/100*(Inputs!$F$57+Inputs!$F$62)/1000</f>
        <v>2E-3</v>
      </c>
      <c r="N181" s="74">
        <f>Assumptions!$E$44/100*(Inputs!$F$57+Inputs!$F$62)/1000</f>
        <v>2E-3</v>
      </c>
      <c r="O181" s="28"/>
      <c r="R181" s="1"/>
      <c r="S181" s="1"/>
      <c r="T181" s="1"/>
      <c r="U181" s="1"/>
      <c r="V181" s="1"/>
      <c r="W181" s="1"/>
      <c r="X181" s="1"/>
      <c r="Y181" s="1"/>
      <c r="Z181" s="1"/>
      <c r="AA181" s="1"/>
      <c r="AB181" s="1"/>
    </row>
    <row r="182" spans="2:28">
      <c r="B182" s="182" t="s">
        <v>70</v>
      </c>
      <c r="C182" s="18" t="s">
        <v>76</v>
      </c>
      <c r="D182" s="79">
        <f>Inputs!$F$59*Assumptions!$E$48</f>
        <v>1.7687999999999999E-2</v>
      </c>
      <c r="E182" s="79">
        <f>Inputs!$F$59*Assumptions!$E$48</f>
        <v>1.7687999999999999E-2</v>
      </c>
      <c r="F182" s="79">
        <f>Inputs!$F$59*Assumptions!$E$48</f>
        <v>1.7687999999999999E-2</v>
      </c>
      <c r="G182" s="79">
        <f>Inputs!$F$59*Assumptions!$E$48</f>
        <v>1.7687999999999999E-2</v>
      </c>
      <c r="H182" s="51">
        <f>Inputs!$F$59*Assumptions!$E$48</f>
        <v>1.7687999999999999E-2</v>
      </c>
      <c r="I182" s="79">
        <f>Inputs!$F$59*Assumptions!$E$48</f>
        <v>1.7687999999999999E-2</v>
      </c>
      <c r="J182" s="184">
        <f>Inputs!$F$59*Assumptions!$E$48</f>
        <v>1.7687999999999999E-2</v>
      </c>
      <c r="K182" s="184">
        <f>Inputs!$F$59*Assumptions!$E$48</f>
        <v>1.7687999999999999E-2</v>
      </c>
      <c r="L182" s="184">
        <f>Inputs!$F$59*Assumptions!$E$48</f>
        <v>1.7687999999999999E-2</v>
      </c>
      <c r="M182" s="184">
        <f>Inputs!$F$59*Assumptions!$E$48</f>
        <v>1.7687999999999999E-2</v>
      </c>
      <c r="N182" s="184">
        <f>Inputs!$F$59*Assumptions!$E$48</f>
        <v>1.7687999999999999E-2</v>
      </c>
      <c r="O182" s="28"/>
      <c r="R182" s="1"/>
      <c r="S182" s="1"/>
      <c r="T182" s="1"/>
      <c r="U182" s="1"/>
      <c r="V182" s="1"/>
      <c r="W182" s="1"/>
      <c r="X182" s="1"/>
      <c r="Y182" s="1"/>
      <c r="Z182" s="1"/>
      <c r="AA182" s="1"/>
      <c r="AB182" s="1"/>
    </row>
    <row r="183" spans="2:28">
      <c r="B183" s="182" t="s">
        <v>63</v>
      </c>
      <c r="C183" s="18" t="s">
        <v>76</v>
      </c>
      <c r="D183" s="8">
        <f>Assumptions!$E$46</f>
        <v>5.1300000000000005E-2</v>
      </c>
      <c r="E183" s="8">
        <f>Assumptions!$E$46</f>
        <v>5.1300000000000005E-2</v>
      </c>
      <c r="F183" s="8">
        <f>Assumptions!$E$46</f>
        <v>5.1300000000000005E-2</v>
      </c>
      <c r="G183" s="8">
        <f>Assumptions!$E$46</f>
        <v>5.1300000000000005E-2</v>
      </c>
      <c r="H183" s="121">
        <f>Assumptions!$E$46</f>
        <v>5.1300000000000005E-2</v>
      </c>
      <c r="I183" s="42">
        <v>5.5E-2</v>
      </c>
      <c r="J183" s="59">
        <v>5.5E-2</v>
      </c>
      <c r="K183" s="59">
        <v>5.5E-2</v>
      </c>
      <c r="L183" s="59">
        <v>5.5E-2</v>
      </c>
      <c r="M183" s="59">
        <v>5.5E-2</v>
      </c>
      <c r="N183" s="59">
        <v>5.5E-2</v>
      </c>
      <c r="O183" s="28"/>
      <c r="R183" s="1"/>
      <c r="S183" s="1"/>
      <c r="T183" s="1"/>
      <c r="U183" s="1"/>
      <c r="V183" s="1"/>
      <c r="W183" s="1"/>
      <c r="X183" s="1"/>
      <c r="Y183" s="1"/>
      <c r="Z183" s="1"/>
      <c r="AA183" s="1"/>
      <c r="AB183" s="1"/>
    </row>
    <row r="184" spans="2:28" ht="15.5" thickBot="1">
      <c r="B184" s="180" t="s">
        <v>106</v>
      </c>
      <c r="C184" s="40" t="s">
        <v>76</v>
      </c>
      <c r="D184" s="118">
        <f>(Assumptions!$E$49*D174)/1000000000</f>
        <v>2.3999999999999998E-3</v>
      </c>
      <c r="E184" s="118">
        <f>(Assumptions!$E$49*E174)/1000000000</f>
        <v>2.3999999999999998E-3</v>
      </c>
      <c r="F184" s="118">
        <f>(Assumptions!$E$49*F174)/1000000000</f>
        <v>2.3999999999999998E-3</v>
      </c>
      <c r="G184" s="118">
        <f>(Assumptions!$E$49*G174)/1000000000</f>
        <v>2.3999999999999998E-3</v>
      </c>
      <c r="H184" s="132">
        <f>(Assumptions!$E$49*H174)/1000000000</f>
        <v>2.3999999999999998E-3</v>
      </c>
      <c r="I184" s="46">
        <f>(Assumptions!$E$49*I174)/1000000000</f>
        <v>2.3999999999999998E-3</v>
      </c>
      <c r="J184" s="76">
        <f>(Assumptions!$E$49*J174)/1000000000</f>
        <v>2.3999999999999998E-3</v>
      </c>
      <c r="K184" s="76">
        <f>(Assumptions!$E$49*K174)/1000000000</f>
        <v>2.3999999999999998E-3</v>
      </c>
      <c r="L184" s="76">
        <f>(Assumptions!$E$49*L174)/1000000000</f>
        <v>3.5999999999999995E-3</v>
      </c>
      <c r="M184" s="76">
        <f>(Assumptions!$E$49*M174)/1000000000</f>
        <v>3.5999999999999995E-3</v>
      </c>
      <c r="N184" s="76">
        <f>(Assumptions!$E$49*N174)/1000000000</f>
        <v>3.5999999999999995E-3</v>
      </c>
      <c r="O184" s="28"/>
      <c r="R184" s="1"/>
      <c r="S184" s="1"/>
      <c r="T184" s="1"/>
      <c r="U184" s="1"/>
      <c r="V184" s="1"/>
      <c r="W184" s="1"/>
      <c r="X184" s="1"/>
      <c r="Y184" s="1"/>
      <c r="Z184" s="1"/>
      <c r="AA184" s="1"/>
      <c r="AB184" s="1"/>
    </row>
    <row r="185" spans="2:28">
      <c r="B185" s="37" t="s">
        <v>87</v>
      </c>
      <c r="C185" s="171" t="s">
        <v>76</v>
      </c>
      <c r="D185" s="188">
        <f>SUM(D178:D184)</f>
        <v>8.1138000000000002E-2</v>
      </c>
      <c r="E185" s="188">
        <f>SUM(E178:E184)</f>
        <v>8.1138000000000002E-2</v>
      </c>
      <c r="F185" s="188">
        <f>SUM(F178:F184)</f>
        <v>8.1138000000000002E-2</v>
      </c>
      <c r="G185" s="191">
        <f>SUM(G178:G184)</f>
        <v>8.1138000000000002E-2</v>
      </c>
      <c r="H185" s="191">
        <f t="shared" ref="H185:N185" si="53">SUM(H178:H184)</f>
        <v>8.1138000000000002E-2</v>
      </c>
      <c r="I185" s="130">
        <f t="shared" si="53"/>
        <v>8.4837999999999997E-2</v>
      </c>
      <c r="J185" s="131">
        <f t="shared" si="53"/>
        <v>8.4792999999999993E-2</v>
      </c>
      <c r="K185" s="131">
        <f t="shared" si="53"/>
        <v>8.4792999999999993E-2</v>
      </c>
      <c r="L185" s="131">
        <f t="shared" si="53"/>
        <v>8.5948000000000011E-2</v>
      </c>
      <c r="M185" s="131">
        <f t="shared" si="53"/>
        <v>8.5948000000000011E-2</v>
      </c>
      <c r="N185" s="131">
        <f t="shared" si="53"/>
        <v>8.5858000000000004E-2</v>
      </c>
      <c r="O185" s="28"/>
      <c r="R185" s="1"/>
      <c r="S185" s="1"/>
      <c r="T185" s="1"/>
      <c r="U185" s="1"/>
      <c r="V185" s="1"/>
      <c r="W185" s="1"/>
      <c r="X185" s="1"/>
      <c r="Y185" s="1"/>
      <c r="Z185" s="1"/>
      <c r="AA185" s="1"/>
      <c r="AB185" s="1"/>
    </row>
    <row r="186" spans="2:28">
      <c r="B186" s="33" t="s">
        <v>73</v>
      </c>
      <c r="C186" s="171" t="s">
        <v>76</v>
      </c>
      <c r="D186" s="189">
        <f>D185*0.15</f>
        <v>1.21707E-2</v>
      </c>
      <c r="E186" s="189">
        <f>E185*0.15</f>
        <v>1.21707E-2</v>
      </c>
      <c r="F186" s="189">
        <f>F185*0.15</f>
        <v>1.21707E-2</v>
      </c>
      <c r="G186" s="79">
        <f>G185*0.15</f>
        <v>1.21707E-2</v>
      </c>
      <c r="H186" s="79">
        <f>H185*0.15</f>
        <v>1.21707E-2</v>
      </c>
      <c r="I186" s="43">
        <f t="shared" ref="I186:N186" si="54">I185*0.15</f>
        <v>1.27257E-2</v>
      </c>
      <c r="J186" s="74">
        <f t="shared" si="54"/>
        <v>1.2718949999999998E-2</v>
      </c>
      <c r="K186" s="74">
        <f t="shared" si="54"/>
        <v>1.2718949999999998E-2</v>
      </c>
      <c r="L186" s="74">
        <f t="shared" si="54"/>
        <v>1.2892200000000001E-2</v>
      </c>
      <c r="M186" s="74">
        <f t="shared" si="54"/>
        <v>1.2892200000000001E-2</v>
      </c>
      <c r="N186" s="74">
        <f t="shared" si="54"/>
        <v>1.28787E-2</v>
      </c>
      <c r="O186" s="28"/>
      <c r="R186" s="1"/>
      <c r="S186" s="1"/>
      <c r="T186" s="1"/>
      <c r="U186" s="1"/>
      <c r="V186" s="1"/>
      <c r="W186" s="1"/>
      <c r="X186" s="1"/>
      <c r="Y186" s="1"/>
      <c r="Z186" s="1"/>
      <c r="AA186" s="1"/>
      <c r="AB186" s="1"/>
    </row>
    <row r="187" spans="2:28">
      <c r="B187" s="37" t="s">
        <v>74</v>
      </c>
      <c r="C187" s="171" t="s">
        <v>76</v>
      </c>
      <c r="D187" s="189">
        <f>D185+D186</f>
        <v>9.3308699999999994E-2</v>
      </c>
      <c r="E187" s="189">
        <f>E185+E186</f>
        <v>9.3308699999999994E-2</v>
      </c>
      <c r="F187" s="189">
        <f>F185+F186</f>
        <v>9.3308699999999994E-2</v>
      </c>
      <c r="G187" s="79">
        <f>G185+G186</f>
        <v>9.3308699999999994E-2</v>
      </c>
      <c r="H187" s="79">
        <f>H185+H186</f>
        <v>9.3308699999999994E-2</v>
      </c>
      <c r="I187" s="43">
        <f t="shared" ref="I187:N187" si="55">I185+I186</f>
        <v>9.7563700000000003E-2</v>
      </c>
      <c r="J187" s="74">
        <f t="shared" si="55"/>
        <v>9.7511949999999986E-2</v>
      </c>
      <c r="K187" s="74">
        <f t="shared" si="55"/>
        <v>9.7511949999999986E-2</v>
      </c>
      <c r="L187" s="74">
        <f t="shared" si="55"/>
        <v>9.8840200000000017E-2</v>
      </c>
      <c r="M187" s="74">
        <f t="shared" si="55"/>
        <v>9.8840200000000017E-2</v>
      </c>
      <c r="N187" s="74">
        <f t="shared" si="55"/>
        <v>9.8736700000000011E-2</v>
      </c>
      <c r="O187" s="28"/>
      <c r="R187" s="1"/>
      <c r="S187" s="1"/>
      <c r="T187" s="1"/>
      <c r="U187" s="1"/>
      <c r="V187" s="1"/>
      <c r="W187" s="1"/>
      <c r="X187" s="1"/>
      <c r="Y187" s="1"/>
      <c r="Z187" s="1"/>
      <c r="AA187" s="1"/>
      <c r="AB187" s="1"/>
    </row>
    <row r="188" spans="2:28">
      <c r="B188" s="45" t="s">
        <v>75</v>
      </c>
      <c r="C188" s="174" t="s">
        <v>76</v>
      </c>
      <c r="D188" s="190">
        <f>D187+D177</f>
        <v>0.10229643299999999</v>
      </c>
      <c r="E188" s="190">
        <f>E187+E177</f>
        <v>0.10229643299999999</v>
      </c>
      <c r="F188" s="190">
        <f>F187+F177</f>
        <v>0.10229643299999999</v>
      </c>
      <c r="G188" s="166">
        <f>G187+G177</f>
        <v>0.10229643299999999</v>
      </c>
      <c r="H188" s="166">
        <f t="shared" ref="H188:N188" si="56">H187+H177</f>
        <v>0.101706483</v>
      </c>
      <c r="I188" s="166">
        <f t="shared" si="56"/>
        <v>0.106344433</v>
      </c>
      <c r="J188" s="167">
        <f t="shared" si="56"/>
        <v>0.10628802549999998</v>
      </c>
      <c r="K188" s="167">
        <f t="shared" si="56"/>
        <v>0.10628802549999998</v>
      </c>
      <c r="L188" s="167">
        <f t="shared" si="56"/>
        <v>0.10773581800000002</v>
      </c>
      <c r="M188" s="167">
        <f t="shared" si="56"/>
        <v>0.10773581800000002</v>
      </c>
      <c r="N188" s="167">
        <f t="shared" si="56"/>
        <v>0.10762300300000001</v>
      </c>
      <c r="O188" s="28"/>
      <c r="R188" s="1"/>
      <c r="S188" s="1"/>
      <c r="T188" s="1"/>
      <c r="U188" s="1"/>
      <c r="V188" s="1"/>
      <c r="W188" s="1"/>
      <c r="X188" s="1"/>
      <c r="Y188" s="1"/>
      <c r="Z188" s="1"/>
      <c r="AA188" s="1"/>
      <c r="AB188" s="1"/>
    </row>
    <row r="189" spans="2:28">
      <c r="B189" s="32"/>
      <c r="C189" s="32"/>
      <c r="D189" s="32"/>
      <c r="E189" s="32"/>
      <c r="F189" s="32"/>
      <c r="G189" s="32"/>
      <c r="H189" s="32"/>
      <c r="I189" s="32"/>
      <c r="J189" s="32"/>
      <c r="K189" s="3"/>
      <c r="L189" s="3"/>
      <c r="M189" s="3"/>
      <c r="N189" s="3"/>
      <c r="O189" s="28"/>
      <c r="R189" s="1"/>
      <c r="S189" s="1"/>
      <c r="T189" s="1"/>
      <c r="U189" s="1"/>
      <c r="V189" s="1"/>
      <c r="W189" s="1"/>
      <c r="X189" s="1"/>
      <c r="Y189" s="1"/>
      <c r="Z189" s="1"/>
      <c r="AA189" s="1"/>
      <c r="AB189" s="1"/>
    </row>
    <row r="190" spans="2:28">
      <c r="B190" s="5" t="s">
        <v>107</v>
      </c>
      <c r="C190" s="3"/>
      <c r="D190" s="177">
        <v>2020</v>
      </c>
      <c r="E190" s="177">
        <v>2021</v>
      </c>
      <c r="F190" s="177">
        <v>2022</v>
      </c>
      <c r="G190" s="6">
        <v>2023</v>
      </c>
      <c r="H190" s="6">
        <v>2024</v>
      </c>
      <c r="I190" s="6">
        <v>2025</v>
      </c>
      <c r="J190" s="7">
        <v>2026</v>
      </c>
      <c r="K190" s="7">
        <v>2027</v>
      </c>
      <c r="L190" s="7">
        <v>2028</v>
      </c>
      <c r="M190" s="7">
        <v>2029</v>
      </c>
      <c r="N190" s="7">
        <v>2030</v>
      </c>
      <c r="O190" s="28"/>
      <c r="R190" s="1"/>
      <c r="S190" s="1"/>
      <c r="T190" s="1"/>
      <c r="U190" s="1"/>
      <c r="V190" s="1"/>
      <c r="W190" s="1"/>
      <c r="X190" s="1"/>
      <c r="Y190" s="1"/>
      <c r="Z190" s="1"/>
      <c r="AA190" s="1"/>
      <c r="AB190" s="1"/>
    </row>
    <row r="191" spans="2:28">
      <c r="B191" s="47" t="s">
        <v>108</v>
      </c>
      <c r="C191" s="176" t="s">
        <v>76</v>
      </c>
      <c r="D191" s="44">
        <f>(D122+D144+D165+D188)-D184</f>
        <v>0.2547920655802246</v>
      </c>
      <c r="E191" s="50">
        <f>(E122+E144+E165+E188)-E184</f>
        <v>0.25471340558022459</v>
      </c>
      <c r="F191" s="50">
        <f>(F122+F144+F165+F188)-F184</f>
        <v>0.25357331393163823</v>
      </c>
      <c r="G191" s="50">
        <f>(G122+G144+G165+G188)-G184</f>
        <v>0.25121351393163821</v>
      </c>
      <c r="H191" s="50">
        <f>(H122+H144+H165+H188)-H184</f>
        <v>0.24756082241870231</v>
      </c>
      <c r="I191" s="50">
        <f t="shared" ref="I191:N191" si="57">(I122+I144+I165+I188)-I184</f>
        <v>0.2504141453178263</v>
      </c>
      <c r="J191" s="168">
        <f t="shared" si="57"/>
        <v>0.24915776354259028</v>
      </c>
      <c r="K191" s="168">
        <f t="shared" si="57"/>
        <v>0.24856904182759754</v>
      </c>
      <c r="L191" s="168">
        <f t="shared" si="57"/>
        <v>0.247081407631278</v>
      </c>
      <c r="M191" s="168">
        <f t="shared" si="57"/>
        <v>0.24604374906247051</v>
      </c>
      <c r="N191" s="168">
        <f t="shared" si="57"/>
        <v>0.24485401492298636</v>
      </c>
      <c r="O191" s="28"/>
      <c r="R191" s="1"/>
      <c r="S191" s="1"/>
      <c r="T191" s="1"/>
      <c r="U191" s="1"/>
      <c r="V191" s="1"/>
      <c r="W191" s="1"/>
      <c r="X191" s="1"/>
      <c r="Y191" s="1"/>
      <c r="Z191" s="1"/>
      <c r="AA191" s="1"/>
      <c r="AB191" s="1"/>
    </row>
    <row r="192" spans="2:28">
      <c r="B192" s="47" t="s">
        <v>109</v>
      </c>
      <c r="C192" s="176" t="s">
        <v>76</v>
      </c>
      <c r="D192" s="44">
        <f>D122+D144+D165+D188</f>
        <v>0.25719206558022462</v>
      </c>
      <c r="E192" s="50">
        <f>E122+E144+E165+E188</f>
        <v>0.25711340558022461</v>
      </c>
      <c r="F192" s="50">
        <f>F122+F144+F165+F188</f>
        <v>0.25597331393163825</v>
      </c>
      <c r="G192" s="50">
        <f>G122+G144+G165+G188</f>
        <v>0.25361351393163822</v>
      </c>
      <c r="H192" s="50">
        <f t="shared" ref="H192:N192" si="58">H122+H144+H165+H188</f>
        <v>0.24996082241870232</v>
      </c>
      <c r="I192" s="50">
        <f t="shared" si="58"/>
        <v>0.25281414531782631</v>
      </c>
      <c r="J192" s="168">
        <f t="shared" si="58"/>
        <v>0.2515577635425903</v>
      </c>
      <c r="K192" s="168">
        <f t="shared" si="58"/>
        <v>0.25096904182759755</v>
      </c>
      <c r="L192" s="168">
        <f t="shared" si="58"/>
        <v>0.250681407631278</v>
      </c>
      <c r="M192" s="168">
        <f t="shared" si="58"/>
        <v>0.2496437490624705</v>
      </c>
      <c r="N192" s="168">
        <f t="shared" si="58"/>
        <v>0.24845401492298635</v>
      </c>
      <c r="O192" s="146"/>
      <c r="R192" s="1"/>
      <c r="S192" s="1"/>
      <c r="T192" s="1"/>
      <c r="U192" s="1"/>
      <c r="V192" s="1"/>
      <c r="W192" s="1"/>
      <c r="X192" s="1"/>
      <c r="Y192" s="1"/>
      <c r="Z192" s="1"/>
      <c r="AA192" s="1"/>
      <c r="AB192" s="1"/>
    </row>
    <row r="193" spans="1:15">
      <c r="A193" s="13"/>
      <c r="B193" s="13"/>
      <c r="C193" s="13"/>
      <c r="D193" s="13"/>
      <c r="E193" s="13"/>
      <c r="F193" s="13"/>
      <c r="G193" s="13"/>
      <c r="H193" s="13"/>
      <c r="I193" s="13"/>
      <c r="J193" s="13"/>
      <c r="K193" s="13"/>
      <c r="L193" s="13"/>
      <c r="M193" s="13"/>
      <c r="N193" s="13"/>
      <c r="O193" s="30"/>
    </row>
  </sheetData>
  <sheetProtection algorithmName="SHA-512" hashValue="Zxus4y/IwN1dFNQpTKmBr2o8lUcvvpP8IM/bB0hFvpirtjbnqiwnPNaQUfVgk6OWmvvrJ6yq7GZ1f14O7z4EFA==" saltValue="SFJ4dxuJokkaZaVL9KN5xg==" spinCount="100000" sheet="1" objects="1" scenarios="1" selectLockedCells="1" selectUnlockedCells="1"/>
  <pageMargins left="0.7" right="0.7" top="0.75" bottom="0.75" header="0.3" footer="0.3"/>
  <pageSetup paperSize="9" orientation="portrait" r:id="rId1"/>
  <headerFooter>
    <oddFooter>&amp;R_x000D_&amp;1#&amp;"Calibri"&amp;10&amp;K000000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1665-AF60-4257-BB37-21609B2E63C5}">
  <sheetPr>
    <tabColor theme="2" tint="-9.9978637043366805E-2"/>
  </sheetPr>
  <dimension ref="B1:K54"/>
  <sheetViews>
    <sheetView zoomScale="97" zoomScaleNormal="97" workbookViewId="0">
      <selection activeCell="F29" sqref="F29"/>
    </sheetView>
  </sheetViews>
  <sheetFormatPr defaultColWidth="8.76953125" defaultRowHeight="14.75"/>
  <cols>
    <col min="1" max="1" width="1.76953125" style="1" customWidth="1"/>
    <col min="2" max="2" width="37.76953125" style="1" bestFit="1" customWidth="1"/>
    <col min="3" max="3" width="22.08984375" style="1" bestFit="1" customWidth="1"/>
    <col min="4" max="4" width="14.54296875" style="1" customWidth="1"/>
    <col min="5" max="5" width="18.08984375" style="1" customWidth="1"/>
    <col min="6" max="6" width="8.76953125" style="1"/>
    <col min="7" max="7" width="44.2265625" style="1" bestFit="1" customWidth="1"/>
    <col min="8" max="8" width="98.76953125" style="194" customWidth="1"/>
    <col min="9" max="16384" width="8.76953125" style="1"/>
  </cols>
  <sheetData>
    <row r="1" spans="2:11" s="93" customFormat="1">
      <c r="B1" s="99" t="s">
        <v>114</v>
      </c>
      <c r="C1" s="100"/>
      <c r="D1" s="100"/>
      <c r="E1" s="100"/>
      <c r="F1" s="100"/>
      <c r="G1" s="100"/>
      <c r="H1" s="193"/>
    </row>
    <row r="2" spans="2:11">
      <c r="B2" s="94"/>
    </row>
    <row r="3" spans="2:11">
      <c r="B3" s="2" t="s">
        <v>115</v>
      </c>
      <c r="D3" s="20"/>
      <c r="E3" s="20"/>
    </row>
    <row r="4" spans="2:11">
      <c r="B4" s="101" t="s">
        <v>116</v>
      </c>
      <c r="C4" s="102" t="s">
        <v>10</v>
      </c>
      <c r="D4" s="103" t="s">
        <v>5</v>
      </c>
      <c r="E4" s="104" t="s">
        <v>117</v>
      </c>
      <c r="F4" s="104" t="s">
        <v>118</v>
      </c>
      <c r="G4" s="104" t="s">
        <v>119</v>
      </c>
      <c r="H4" s="195" t="s">
        <v>120</v>
      </c>
    </row>
    <row r="5" spans="2:11">
      <c r="B5" s="105" t="s">
        <v>55</v>
      </c>
      <c r="C5" s="86" t="s">
        <v>56</v>
      </c>
      <c r="D5" s="72">
        <v>40</v>
      </c>
      <c r="E5" s="72">
        <v>40</v>
      </c>
      <c r="F5" s="197">
        <v>2024</v>
      </c>
      <c r="G5" s="137" t="s">
        <v>121</v>
      </c>
      <c r="H5" s="196"/>
    </row>
    <row r="6" spans="2:11">
      <c r="B6" s="105" t="s">
        <v>122</v>
      </c>
      <c r="C6" s="86" t="s">
        <v>123</v>
      </c>
      <c r="D6" s="72">
        <v>10</v>
      </c>
      <c r="E6" s="42">
        <v>10</v>
      </c>
      <c r="F6" s="42">
        <v>2025</v>
      </c>
      <c r="G6" s="42" t="s">
        <v>124</v>
      </c>
      <c r="H6" s="135"/>
    </row>
    <row r="7" spans="2:11">
      <c r="B7" s="106" t="s">
        <v>125</v>
      </c>
      <c r="C7" s="107" t="s">
        <v>123</v>
      </c>
      <c r="D7" s="108">
        <v>20</v>
      </c>
      <c r="E7" s="197">
        <v>20</v>
      </c>
      <c r="F7" s="42">
        <v>2025</v>
      </c>
      <c r="G7" s="42" t="s">
        <v>124</v>
      </c>
      <c r="H7" s="140"/>
    </row>
    <row r="8" spans="2:11">
      <c r="B8" s="106" t="s">
        <v>69</v>
      </c>
      <c r="C8" s="107" t="s">
        <v>126</v>
      </c>
      <c r="D8" s="108">
        <v>4</v>
      </c>
      <c r="E8" s="197">
        <v>4</v>
      </c>
      <c r="F8" s="42">
        <v>2025</v>
      </c>
      <c r="G8" s="42" t="s">
        <v>124</v>
      </c>
      <c r="H8" s="140"/>
    </row>
    <row r="9" spans="2:11">
      <c r="B9" s="106" t="s">
        <v>127</v>
      </c>
      <c r="C9" s="107" t="s">
        <v>128</v>
      </c>
      <c r="D9" s="108">
        <v>2.0999999999999999E-5</v>
      </c>
      <c r="E9" s="197">
        <v>2.0999999999999999E-5</v>
      </c>
      <c r="F9" s="197">
        <v>2025</v>
      </c>
      <c r="G9" s="197" t="s">
        <v>129</v>
      </c>
      <c r="H9" s="140" t="s">
        <v>130</v>
      </c>
    </row>
    <row r="10" spans="2:11">
      <c r="B10" s="106" t="s">
        <v>131</v>
      </c>
      <c r="C10" s="107" t="s">
        <v>22</v>
      </c>
      <c r="D10" s="108">
        <v>1.7</v>
      </c>
      <c r="E10" s="197">
        <v>1.7</v>
      </c>
      <c r="F10" s="42">
        <v>2025</v>
      </c>
      <c r="G10" s="42" t="s">
        <v>124</v>
      </c>
      <c r="H10" s="140"/>
      <c r="K10" s="1" t="s">
        <v>77</v>
      </c>
    </row>
    <row r="11" spans="2:11">
      <c r="B11" s="106" t="s">
        <v>132</v>
      </c>
      <c r="C11" s="107" t="s">
        <v>60</v>
      </c>
      <c r="D11" s="108">
        <v>1.26</v>
      </c>
      <c r="E11" s="197">
        <v>1.26</v>
      </c>
      <c r="F11" s="42">
        <v>2025</v>
      </c>
      <c r="G11" s="42" t="s">
        <v>124</v>
      </c>
      <c r="H11" s="140"/>
    </row>
    <row r="12" spans="2:11">
      <c r="B12" s="106" t="s">
        <v>133</v>
      </c>
      <c r="C12" s="107" t="s">
        <v>62</v>
      </c>
      <c r="D12" s="108">
        <v>2.1</v>
      </c>
      <c r="E12" s="197">
        <v>1.9</v>
      </c>
      <c r="F12" s="197">
        <v>2025</v>
      </c>
      <c r="G12" s="139" t="s">
        <v>134</v>
      </c>
      <c r="H12" s="140" t="s">
        <v>135</v>
      </c>
    </row>
    <row r="13" spans="2:11">
      <c r="B13" s="109" t="s">
        <v>65</v>
      </c>
      <c r="C13" s="107" t="s">
        <v>60</v>
      </c>
      <c r="D13" s="110">
        <v>0.1</v>
      </c>
      <c r="E13" s="107">
        <v>0.1</v>
      </c>
      <c r="F13" s="42">
        <v>2025</v>
      </c>
      <c r="G13" s="42" t="s">
        <v>124</v>
      </c>
      <c r="H13" s="109"/>
    </row>
    <row r="14" spans="2:11">
      <c r="B14" s="105" t="s">
        <v>57</v>
      </c>
      <c r="C14" s="86" t="s">
        <v>22</v>
      </c>
      <c r="D14" s="72">
        <v>1.7</v>
      </c>
      <c r="E14" s="72">
        <v>1.7</v>
      </c>
      <c r="F14" s="72">
        <v>2024</v>
      </c>
      <c r="G14" s="138" t="s">
        <v>136</v>
      </c>
      <c r="H14" s="135" t="s">
        <v>137</v>
      </c>
    </row>
    <row r="15" spans="2:11">
      <c r="B15" s="105" t="s">
        <v>63</v>
      </c>
      <c r="C15" s="86" t="s">
        <v>22</v>
      </c>
      <c r="D15" s="8">
        <v>1.2</v>
      </c>
      <c r="E15" s="8">
        <v>1.2</v>
      </c>
      <c r="F15" s="42">
        <v>2025</v>
      </c>
      <c r="G15" s="42" t="s">
        <v>124</v>
      </c>
      <c r="H15" s="109"/>
    </row>
    <row r="17" spans="2:11">
      <c r="B17" s="2" t="s">
        <v>138</v>
      </c>
      <c r="D17" s="20"/>
      <c r="E17" s="20"/>
    </row>
    <row r="18" spans="2:11">
      <c r="B18" s="101" t="s">
        <v>116</v>
      </c>
      <c r="C18" s="102" t="s">
        <v>10</v>
      </c>
      <c r="D18" s="103" t="s">
        <v>5</v>
      </c>
      <c r="E18" s="104" t="s">
        <v>117</v>
      </c>
      <c r="F18" s="104" t="s">
        <v>118</v>
      </c>
      <c r="G18" s="104" t="s">
        <v>119</v>
      </c>
      <c r="H18" s="195" t="s">
        <v>120</v>
      </c>
    </row>
    <row r="19" spans="2:11" ht="16.899999999999999" customHeight="1">
      <c r="B19" s="106" t="s">
        <v>81</v>
      </c>
      <c r="C19" s="107" t="s">
        <v>82</v>
      </c>
      <c r="D19" s="108">
        <f>(182*210)/1000000</f>
        <v>3.8219999999999997E-2</v>
      </c>
      <c r="E19" s="197">
        <f>182*182/1000000</f>
        <v>3.3124000000000001E-2</v>
      </c>
      <c r="F19" s="42">
        <v>2024</v>
      </c>
      <c r="G19" s="136" t="s">
        <v>139</v>
      </c>
      <c r="H19" s="140" t="s">
        <v>140</v>
      </c>
    </row>
    <row r="20" spans="2:11">
      <c r="B20" s="106" t="s">
        <v>141</v>
      </c>
      <c r="C20" s="107" t="s">
        <v>142</v>
      </c>
      <c r="D20" s="108">
        <v>130</v>
      </c>
      <c r="E20" s="197">
        <v>145</v>
      </c>
      <c r="F20" s="42">
        <v>2024</v>
      </c>
      <c r="G20" s="136" t="s">
        <v>139</v>
      </c>
      <c r="H20" s="140"/>
    </row>
    <row r="21" spans="2:11">
      <c r="B21" s="106" t="s">
        <v>143</v>
      </c>
      <c r="C21" s="107" t="s">
        <v>123</v>
      </c>
      <c r="D21" s="108">
        <v>7</v>
      </c>
      <c r="E21" s="197">
        <v>7</v>
      </c>
      <c r="F21" s="42">
        <v>2025</v>
      </c>
      <c r="G21" s="42" t="s">
        <v>124</v>
      </c>
      <c r="H21" s="140"/>
    </row>
    <row r="22" spans="2:11">
      <c r="B22" s="106" t="s">
        <v>125</v>
      </c>
      <c r="C22" s="107" t="s">
        <v>123</v>
      </c>
      <c r="D22" s="108">
        <v>20</v>
      </c>
      <c r="E22" s="197">
        <v>20</v>
      </c>
      <c r="F22" s="42">
        <v>2025</v>
      </c>
      <c r="G22" s="42" t="s">
        <v>124</v>
      </c>
      <c r="H22" s="140"/>
    </row>
    <row r="23" spans="2:11">
      <c r="B23" s="106" t="s">
        <v>69</v>
      </c>
      <c r="C23" s="107" t="s">
        <v>126</v>
      </c>
      <c r="D23" s="108">
        <v>4</v>
      </c>
      <c r="E23" s="197">
        <v>4</v>
      </c>
      <c r="F23" s="42">
        <v>2025</v>
      </c>
      <c r="G23" s="42" t="s">
        <v>124</v>
      </c>
      <c r="H23" s="140"/>
    </row>
    <row r="24" spans="2:11">
      <c r="B24" s="106" t="s">
        <v>55</v>
      </c>
      <c r="C24" s="107" t="s">
        <v>144</v>
      </c>
      <c r="D24" s="108">
        <v>0.9</v>
      </c>
      <c r="E24" s="197">
        <f>0.9*0.9</f>
        <v>0.81</v>
      </c>
      <c r="F24" s="42">
        <v>2025</v>
      </c>
      <c r="G24" s="42" t="s">
        <v>124</v>
      </c>
      <c r="H24" s="140"/>
    </row>
    <row r="25" spans="2:11">
      <c r="B25" s="106" t="s">
        <v>145</v>
      </c>
      <c r="C25" s="107" t="s">
        <v>76</v>
      </c>
      <c r="D25" s="108">
        <v>7.6999999999999999E-2</v>
      </c>
      <c r="E25" s="197">
        <f>0.077*0.9</f>
        <v>6.93E-2</v>
      </c>
      <c r="F25" s="42">
        <v>2025</v>
      </c>
      <c r="G25" s="42" t="s">
        <v>124</v>
      </c>
      <c r="H25" s="140"/>
    </row>
    <row r="26" spans="2:11">
      <c r="B26" s="106" t="s">
        <v>65</v>
      </c>
      <c r="C26" s="107" t="s">
        <v>60</v>
      </c>
      <c r="D26" s="108">
        <v>0.1</v>
      </c>
      <c r="E26" s="197">
        <v>0.1</v>
      </c>
      <c r="F26" s="42">
        <v>2025</v>
      </c>
      <c r="G26" s="197" t="s">
        <v>124</v>
      </c>
      <c r="H26" s="140"/>
      <c r="K26" s="1" t="s">
        <v>77</v>
      </c>
    </row>
    <row r="27" spans="2:11">
      <c r="B27" s="106" t="s">
        <v>70</v>
      </c>
      <c r="C27" s="107" t="s">
        <v>146</v>
      </c>
      <c r="D27" s="108">
        <v>2.1500000000000001E-7</v>
      </c>
      <c r="E27" s="108">
        <v>2.1500000000000001E-7</v>
      </c>
      <c r="F27" s="42">
        <v>2025</v>
      </c>
      <c r="G27" s="197" t="s">
        <v>129</v>
      </c>
      <c r="H27" s="140" t="s">
        <v>130</v>
      </c>
    </row>
    <row r="28" spans="2:11">
      <c r="B28" s="106" t="s">
        <v>84</v>
      </c>
      <c r="C28" s="107" t="s">
        <v>85</v>
      </c>
      <c r="D28" s="108">
        <v>1000</v>
      </c>
      <c r="E28" s="197">
        <v>1000</v>
      </c>
      <c r="F28" s="42">
        <v>2025</v>
      </c>
      <c r="G28" s="197" t="s">
        <v>129</v>
      </c>
      <c r="H28" s="140"/>
    </row>
    <row r="30" spans="2:11">
      <c r="B30" s="2" t="s">
        <v>147</v>
      </c>
      <c r="D30" s="20"/>
      <c r="E30" s="20"/>
    </row>
    <row r="31" spans="2:11">
      <c r="B31" s="101" t="s">
        <v>116</v>
      </c>
      <c r="C31" s="102" t="s">
        <v>10</v>
      </c>
      <c r="D31" s="103" t="s">
        <v>5</v>
      </c>
      <c r="E31" s="104" t="s">
        <v>117</v>
      </c>
      <c r="F31" s="104" t="s">
        <v>118</v>
      </c>
      <c r="G31" s="104" t="s">
        <v>119</v>
      </c>
      <c r="H31" s="195" t="s">
        <v>120</v>
      </c>
    </row>
    <row r="32" spans="2:11">
      <c r="B32" s="106" t="s">
        <v>143</v>
      </c>
      <c r="C32" s="107" t="s">
        <v>123</v>
      </c>
      <c r="D32" s="108">
        <v>5</v>
      </c>
      <c r="E32" s="197">
        <v>5</v>
      </c>
      <c r="F32" s="42">
        <v>2025</v>
      </c>
      <c r="G32" s="42" t="s">
        <v>124</v>
      </c>
      <c r="H32" s="140"/>
    </row>
    <row r="33" spans="2:10">
      <c r="B33" s="106" t="s">
        <v>125</v>
      </c>
      <c r="C33" s="107" t="s">
        <v>123</v>
      </c>
      <c r="D33" s="108">
        <v>20</v>
      </c>
      <c r="E33" s="197">
        <v>20</v>
      </c>
      <c r="F33" s="42">
        <v>2025</v>
      </c>
      <c r="G33" s="42" t="s">
        <v>124</v>
      </c>
      <c r="H33" s="140"/>
    </row>
    <row r="34" spans="2:10">
      <c r="B34" s="106" t="s">
        <v>69</v>
      </c>
      <c r="C34" s="107" t="s">
        <v>126</v>
      </c>
      <c r="D34" s="108">
        <v>4</v>
      </c>
      <c r="E34" s="197">
        <v>4</v>
      </c>
      <c r="F34" s="42">
        <v>2025</v>
      </c>
      <c r="G34" s="42" t="s">
        <v>124</v>
      </c>
      <c r="H34" s="140"/>
    </row>
    <row r="35" spans="2:10">
      <c r="B35" s="106" t="s">
        <v>55</v>
      </c>
      <c r="C35" s="107" t="s">
        <v>90</v>
      </c>
      <c r="D35" s="108">
        <v>5.6000000000000001E-2</v>
      </c>
      <c r="E35" s="197">
        <f>D35*0.9</f>
        <v>5.04E-2</v>
      </c>
      <c r="F35" s="197">
        <v>2025</v>
      </c>
      <c r="G35" s="137" t="s">
        <v>148</v>
      </c>
      <c r="H35" s="140"/>
    </row>
    <row r="36" spans="2:10">
      <c r="B36" s="106" t="s">
        <v>93</v>
      </c>
      <c r="C36" s="86" t="s">
        <v>22</v>
      </c>
      <c r="D36" s="42">
        <v>853</v>
      </c>
      <c r="E36" s="42">
        <v>853</v>
      </c>
      <c r="F36" s="42">
        <v>2024</v>
      </c>
      <c r="G36" s="136" t="s">
        <v>139</v>
      </c>
      <c r="H36" s="140" t="s">
        <v>149</v>
      </c>
      <c r="J36" s="1" t="s">
        <v>77</v>
      </c>
    </row>
    <row r="37" spans="2:10">
      <c r="B37" s="106" t="s">
        <v>65</v>
      </c>
      <c r="C37" s="107" t="s">
        <v>60</v>
      </c>
      <c r="D37" s="108">
        <v>0.1</v>
      </c>
      <c r="E37" s="197">
        <v>0.1</v>
      </c>
      <c r="F37" s="42">
        <v>2025</v>
      </c>
      <c r="G37" s="42" t="s">
        <v>124</v>
      </c>
      <c r="H37" s="140"/>
    </row>
    <row r="38" spans="2:10">
      <c r="B38" s="106" t="s">
        <v>70</v>
      </c>
      <c r="C38" s="107" t="s">
        <v>146</v>
      </c>
      <c r="D38" s="108">
        <v>2.1500000000000001E-7</v>
      </c>
      <c r="E38" s="108">
        <v>2.1500000000000001E-7</v>
      </c>
      <c r="F38" s="42">
        <v>2025</v>
      </c>
      <c r="G38" s="197" t="s">
        <v>129</v>
      </c>
      <c r="H38" s="140" t="s">
        <v>130</v>
      </c>
    </row>
    <row r="40" spans="2:10">
      <c r="B40" s="2" t="s">
        <v>150</v>
      </c>
      <c r="D40" s="20"/>
      <c r="E40" s="20"/>
    </row>
    <row r="41" spans="2:10">
      <c r="B41" s="101" t="s">
        <v>116</v>
      </c>
      <c r="C41" s="102" t="s">
        <v>10</v>
      </c>
      <c r="D41" s="103" t="s">
        <v>5</v>
      </c>
      <c r="E41" s="104" t="s">
        <v>117</v>
      </c>
      <c r="F41" s="104" t="s">
        <v>118</v>
      </c>
      <c r="G41" s="104" t="s">
        <v>119</v>
      </c>
      <c r="H41" s="195" t="s">
        <v>120</v>
      </c>
    </row>
    <row r="42" spans="2:10">
      <c r="B42" s="106" t="s">
        <v>143</v>
      </c>
      <c r="C42" s="107" t="s">
        <v>123</v>
      </c>
      <c r="D42" s="108">
        <v>5</v>
      </c>
      <c r="E42" s="197">
        <v>5</v>
      </c>
      <c r="F42" s="42">
        <v>2025</v>
      </c>
      <c r="G42" s="42" t="s">
        <v>124</v>
      </c>
      <c r="H42" s="198"/>
    </row>
    <row r="43" spans="2:10">
      <c r="B43" s="106" t="s">
        <v>125</v>
      </c>
      <c r="C43" s="107" t="s">
        <v>123</v>
      </c>
      <c r="D43" s="108">
        <v>20</v>
      </c>
      <c r="E43" s="197">
        <v>20</v>
      </c>
      <c r="F43" s="42">
        <v>2025</v>
      </c>
      <c r="G43" s="42" t="s">
        <v>124</v>
      </c>
      <c r="H43" s="198"/>
    </row>
    <row r="44" spans="2:10">
      <c r="B44" s="106" t="s">
        <v>69</v>
      </c>
      <c r="C44" s="107" t="s">
        <v>126</v>
      </c>
      <c r="D44" s="108">
        <v>4</v>
      </c>
      <c r="E44" s="197">
        <v>4</v>
      </c>
      <c r="F44" s="42">
        <v>2025</v>
      </c>
      <c r="G44" s="42" t="s">
        <v>124</v>
      </c>
      <c r="H44" s="198"/>
    </row>
    <row r="45" spans="2:10">
      <c r="B45" s="106" t="s">
        <v>55</v>
      </c>
      <c r="C45" s="107" t="s">
        <v>90</v>
      </c>
      <c r="D45" s="197">
        <v>2.5000000000000001E-2</v>
      </c>
      <c r="E45" s="197">
        <v>2.5000000000000001E-2</v>
      </c>
      <c r="F45" s="42">
        <v>2025</v>
      </c>
      <c r="G45" s="198" t="s">
        <v>151</v>
      </c>
      <c r="H45" s="198" t="s">
        <v>152</v>
      </c>
    </row>
    <row r="46" spans="2:10">
      <c r="B46" s="106" t="s">
        <v>145</v>
      </c>
      <c r="C46" s="107" t="s">
        <v>76</v>
      </c>
      <c r="D46" s="108">
        <v>5.7000000000000002E-2</v>
      </c>
      <c r="E46" s="108">
        <f>D46*0.9</f>
        <v>5.1300000000000005E-2</v>
      </c>
      <c r="F46" s="42">
        <v>2025</v>
      </c>
      <c r="G46" s="42" t="s">
        <v>124</v>
      </c>
      <c r="H46" s="198"/>
    </row>
    <row r="47" spans="2:10">
      <c r="B47" s="106" t="s">
        <v>65</v>
      </c>
      <c r="C47" s="107" t="s">
        <v>60</v>
      </c>
      <c r="D47" s="108">
        <v>0.1</v>
      </c>
      <c r="E47" s="197">
        <v>0.1</v>
      </c>
      <c r="F47" s="42">
        <v>2025</v>
      </c>
      <c r="G47" s="42" t="s">
        <v>124</v>
      </c>
      <c r="H47" s="198"/>
    </row>
    <row r="48" spans="2:10">
      <c r="B48" s="106" t="s">
        <v>70</v>
      </c>
      <c r="C48" s="107" t="s">
        <v>146</v>
      </c>
      <c r="D48" s="108">
        <v>2.6399999999999998E-7</v>
      </c>
      <c r="E48" s="108">
        <v>2.6399999999999998E-7</v>
      </c>
      <c r="F48" s="42">
        <v>2025</v>
      </c>
      <c r="G48" s="197" t="s">
        <v>129</v>
      </c>
      <c r="H48" s="198" t="s">
        <v>130</v>
      </c>
    </row>
    <row r="49" spans="2:8">
      <c r="B49" s="106" t="s">
        <v>153</v>
      </c>
      <c r="C49" s="107" t="s">
        <v>154</v>
      </c>
      <c r="D49" s="108">
        <v>5.9999999999999995E-4</v>
      </c>
      <c r="E49" s="108">
        <v>5.9999999999999995E-4</v>
      </c>
      <c r="F49" s="42">
        <v>2025</v>
      </c>
      <c r="G49" s="197" t="s">
        <v>129</v>
      </c>
      <c r="H49" s="198"/>
    </row>
    <row r="54" spans="2:8">
      <c r="C54" s="160"/>
    </row>
  </sheetData>
  <hyperlinks>
    <hyperlink ref="G12" r:id="rId1" xr:uid="{BF444E15-F6D5-4187-9BFF-9C93729BBC21}"/>
    <hyperlink ref="G35" r:id="rId2" location=":~:text=%E4%B8%AD%E5%9B%BD%E5%85%89%E4%BC%8F%E4%BA%A7%E4%B8%9A%E5%8F%91%E5%B1%95%E8%B7%AF%E7%BA%BF%E5%9B%BE%EF%BC%88%E8%8A%82%E9%80%89%EF%BC%89,4%20%E4%B8%87%20kWh%2FMW%E3%80%82" xr:uid="{2F56F005-EFD7-4816-8A3C-ACE6FE4AE1FC}"/>
    <hyperlink ref="G5" r:id="rId3" xr:uid="{8BB5F6DE-A24B-45B2-9296-0B1C8A43C284}"/>
    <hyperlink ref="G14" r:id="rId4" xr:uid="{9A9F1D0A-46AF-43B0-A49F-BE5C665CB1B8}"/>
  </hyperlinks>
  <pageMargins left="0.7" right="0.7" top="0.75" bottom="0.75" header="0.3" footer="0.3"/>
  <pageSetup paperSize="9" orientation="portrait" r:id="rId5"/>
  <headerFooter>
    <oddFooter>&amp;R_x000D_&amp;1#&amp;"Calibri"&amp;10&amp;K000000 Official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454FA-6DC8-48BC-B742-54603C78F206}">
  <sheetPr>
    <tabColor theme="2" tint="-9.9978637043366805E-2"/>
  </sheetPr>
  <dimension ref="A2:R115"/>
  <sheetViews>
    <sheetView zoomScale="60" zoomScaleNormal="60" workbookViewId="0">
      <selection activeCell="D20" sqref="D20"/>
    </sheetView>
  </sheetViews>
  <sheetFormatPr defaultColWidth="8.76953125" defaultRowHeight="14.75"/>
  <cols>
    <col min="1" max="1" width="2.08984375" style="1" customWidth="1"/>
    <col min="2" max="2" width="48.08984375" style="1" customWidth="1"/>
    <col min="3" max="3" width="18" style="1" bestFit="1" customWidth="1"/>
    <col min="4" max="4" width="21.08984375" style="65" customWidth="1"/>
    <col min="5" max="5" width="26.76953125" style="65" customWidth="1"/>
    <col min="6" max="6" width="31.08984375" style="1" customWidth="1"/>
    <col min="7" max="7" width="18.76953125" style="1" customWidth="1"/>
    <col min="8" max="8" width="20" style="1" customWidth="1"/>
    <col min="9" max="9" width="13.76953125" style="1" customWidth="1"/>
    <col min="10" max="16384" width="8.76953125" style="1"/>
  </cols>
  <sheetData>
    <row r="2" spans="1:10">
      <c r="B2" s="29" t="s">
        <v>4</v>
      </c>
      <c r="C2" s="23" t="s">
        <v>5</v>
      </c>
      <c r="D2" s="63"/>
      <c r="E2" s="63"/>
    </row>
    <row r="3" spans="1:10">
      <c r="A3" s="24"/>
      <c r="B3" s="25"/>
      <c r="C3" s="26"/>
      <c r="D3" s="64"/>
      <c r="E3" s="64"/>
      <c r="F3" s="24"/>
      <c r="G3" s="24"/>
      <c r="H3" s="24"/>
      <c r="I3" s="24"/>
      <c r="J3" s="27"/>
    </row>
    <row r="4" spans="1:10">
      <c r="B4" s="2" t="s">
        <v>6</v>
      </c>
      <c r="J4" s="28"/>
    </row>
    <row r="5" spans="1:10">
      <c r="B5" s="21" t="s">
        <v>9</v>
      </c>
      <c r="C5" s="21" t="s">
        <v>10</v>
      </c>
      <c r="D5" s="66" t="s">
        <v>3</v>
      </c>
      <c r="E5" s="66" t="s">
        <v>155</v>
      </c>
      <c r="F5" s="66" t="s">
        <v>8</v>
      </c>
      <c r="G5" s="66" t="s">
        <v>156</v>
      </c>
      <c r="H5" s="66" t="s">
        <v>157</v>
      </c>
      <c r="I5" s="66" t="s">
        <v>158</v>
      </c>
      <c r="J5" s="28"/>
    </row>
    <row r="6" spans="1:10">
      <c r="B6" s="17" t="s">
        <v>14</v>
      </c>
      <c r="C6" s="18" t="s">
        <v>15</v>
      </c>
      <c r="D6" s="42">
        <v>50000</v>
      </c>
      <c r="E6" s="42">
        <v>50000</v>
      </c>
      <c r="F6" s="42">
        <v>60000</v>
      </c>
      <c r="G6" s="42">
        <v>50000</v>
      </c>
      <c r="H6" s="42">
        <v>50000</v>
      </c>
      <c r="I6" s="42">
        <v>50000</v>
      </c>
      <c r="J6" s="28"/>
    </row>
    <row r="7" spans="1:10">
      <c r="B7" s="17" t="s">
        <v>16</v>
      </c>
      <c r="C7" s="18" t="s">
        <v>15</v>
      </c>
      <c r="D7" s="42">
        <v>70000</v>
      </c>
      <c r="E7" s="42">
        <v>70000</v>
      </c>
      <c r="F7" s="42">
        <v>80000</v>
      </c>
      <c r="G7" s="42">
        <v>70000</v>
      </c>
      <c r="H7" s="42">
        <v>70000</v>
      </c>
      <c r="I7" s="42">
        <v>70000</v>
      </c>
      <c r="J7" s="28"/>
    </row>
    <row r="8" spans="1:10">
      <c r="B8" s="17" t="s">
        <v>17</v>
      </c>
      <c r="C8" s="18" t="s">
        <v>18</v>
      </c>
      <c r="D8" s="42">
        <v>7.0000000000000007E-2</v>
      </c>
      <c r="E8" s="42">
        <v>0.09</v>
      </c>
      <c r="F8" s="42">
        <v>6.5000000000000002E-2</v>
      </c>
      <c r="G8" s="42">
        <v>0.18</v>
      </c>
      <c r="H8" s="42">
        <v>9.5000000000000001E-2</v>
      </c>
      <c r="I8" s="42">
        <v>6.8000000000000005E-2</v>
      </c>
      <c r="J8" s="28"/>
    </row>
    <row r="9" spans="1:10">
      <c r="B9" s="17" t="s">
        <v>19</v>
      </c>
      <c r="C9" s="18" t="s">
        <v>20</v>
      </c>
      <c r="D9" s="42">
        <v>9000</v>
      </c>
      <c r="E9" s="42">
        <v>67000</v>
      </c>
      <c r="F9" s="42">
        <v>14500</v>
      </c>
      <c r="G9" s="42">
        <v>65000</v>
      </c>
      <c r="H9" s="42">
        <v>8500</v>
      </c>
      <c r="I9" s="42">
        <v>69000</v>
      </c>
      <c r="J9" s="28"/>
    </row>
    <row r="10" spans="1:10">
      <c r="B10" s="17" t="s">
        <v>21</v>
      </c>
      <c r="C10" s="18" t="s">
        <v>22</v>
      </c>
      <c r="D10" s="42">
        <v>15</v>
      </c>
      <c r="E10" s="42">
        <v>20</v>
      </c>
      <c r="F10" s="42">
        <v>13</v>
      </c>
      <c r="G10" s="42">
        <v>20</v>
      </c>
      <c r="H10" s="42">
        <v>16</v>
      </c>
      <c r="I10" s="42">
        <v>25</v>
      </c>
      <c r="J10" s="28"/>
    </row>
    <row r="11" spans="1:10">
      <c r="B11" s="17" t="s">
        <v>23</v>
      </c>
      <c r="C11" s="18" t="s">
        <v>22</v>
      </c>
      <c r="D11" s="42">
        <v>5</v>
      </c>
      <c r="E11" s="42">
        <v>7</v>
      </c>
      <c r="F11" s="42">
        <v>3</v>
      </c>
      <c r="G11" s="42">
        <v>7</v>
      </c>
      <c r="H11" s="42">
        <v>6</v>
      </c>
      <c r="I11" s="42">
        <v>10</v>
      </c>
      <c r="J11" s="28"/>
    </row>
    <row r="12" spans="1:10">
      <c r="J12" s="28"/>
    </row>
    <row r="13" spans="1:10">
      <c r="B13" s="2" t="s">
        <v>24</v>
      </c>
      <c r="J13" s="28"/>
    </row>
    <row r="14" spans="1:10">
      <c r="B14" s="21" t="s">
        <v>9</v>
      </c>
      <c r="C14" s="21" t="s">
        <v>10</v>
      </c>
      <c r="D14" s="66" t="s">
        <v>3</v>
      </c>
      <c r="E14" s="66" t="s">
        <v>155</v>
      </c>
      <c r="F14" s="66" t="s">
        <v>8</v>
      </c>
      <c r="G14" s="66" t="s">
        <v>156</v>
      </c>
      <c r="H14" s="66" t="s">
        <v>157</v>
      </c>
      <c r="I14" s="66" t="s">
        <v>158</v>
      </c>
      <c r="J14" s="28"/>
    </row>
    <row r="15" spans="1:10">
      <c r="B15" s="17" t="s">
        <v>14</v>
      </c>
      <c r="C15" s="18" t="s">
        <v>27</v>
      </c>
      <c r="D15" s="8">
        <v>4000000000</v>
      </c>
      <c r="E15" s="8">
        <v>4000000000</v>
      </c>
      <c r="F15" s="8">
        <v>5000000000</v>
      </c>
      <c r="G15" s="8">
        <f>0.2*10^9</f>
        <v>200000000</v>
      </c>
      <c r="H15" s="8">
        <v>4000000000</v>
      </c>
      <c r="I15" s="8">
        <v>2000000000</v>
      </c>
      <c r="J15" s="28"/>
    </row>
    <row r="16" spans="1:10">
      <c r="B16" s="17" t="s">
        <v>16</v>
      </c>
      <c r="C16" s="18" t="s">
        <v>27</v>
      </c>
      <c r="D16" s="8">
        <v>6000000000</v>
      </c>
      <c r="E16" s="8">
        <v>6000000000</v>
      </c>
      <c r="F16" s="8">
        <v>10000000000</v>
      </c>
      <c r="G16" s="8">
        <v>2000000000</v>
      </c>
      <c r="H16" s="8">
        <v>10000000000</v>
      </c>
      <c r="I16" s="8">
        <v>5000000000</v>
      </c>
      <c r="J16" s="28"/>
    </row>
    <row r="17" spans="1:10">
      <c r="B17" s="17" t="s">
        <v>28</v>
      </c>
      <c r="C17" s="18" t="s">
        <v>29</v>
      </c>
      <c r="D17" s="8">
        <v>40</v>
      </c>
      <c r="E17" s="8">
        <v>45</v>
      </c>
      <c r="F17" s="8">
        <v>35</v>
      </c>
      <c r="G17" s="8">
        <v>45</v>
      </c>
      <c r="H17" s="8">
        <v>40</v>
      </c>
      <c r="I17" s="8">
        <v>55</v>
      </c>
      <c r="J17" s="28"/>
    </row>
    <row r="18" spans="1:10">
      <c r="B18" s="17" t="s">
        <v>30</v>
      </c>
      <c r="C18" s="18" t="s">
        <v>29</v>
      </c>
      <c r="D18" s="8">
        <v>35</v>
      </c>
      <c r="E18" s="8">
        <v>50</v>
      </c>
      <c r="F18" s="8">
        <v>30</v>
      </c>
      <c r="G18" s="8">
        <v>50</v>
      </c>
      <c r="H18" s="8">
        <v>35</v>
      </c>
      <c r="I18" s="8">
        <v>60</v>
      </c>
      <c r="J18" s="28"/>
    </row>
    <row r="19" spans="1:10">
      <c r="B19" s="17" t="s">
        <v>31</v>
      </c>
      <c r="C19" s="18" t="s">
        <v>29</v>
      </c>
      <c r="D19" s="8">
        <v>13</v>
      </c>
      <c r="E19" s="8">
        <v>20</v>
      </c>
      <c r="F19" s="8">
        <v>10</v>
      </c>
      <c r="G19" s="8">
        <v>20</v>
      </c>
      <c r="H19" s="8">
        <v>15</v>
      </c>
      <c r="I19" s="8">
        <v>25</v>
      </c>
      <c r="J19" s="28"/>
    </row>
    <row r="20" spans="1:10">
      <c r="B20" s="17" t="s">
        <v>17</v>
      </c>
      <c r="C20" s="18" t="s">
        <v>18</v>
      </c>
      <c r="D20" s="42">
        <v>7.0000000000000007E-2</v>
      </c>
      <c r="E20" s="42">
        <v>0.09</v>
      </c>
      <c r="F20" s="42">
        <v>0.08</v>
      </c>
      <c r="G20" s="42">
        <v>0.18</v>
      </c>
      <c r="H20" s="42">
        <v>9.5000000000000001E-2</v>
      </c>
      <c r="I20" s="42">
        <v>6.8000000000000005E-2</v>
      </c>
      <c r="J20" s="28"/>
    </row>
    <row r="21" spans="1:10">
      <c r="B21" s="17" t="s">
        <v>19</v>
      </c>
      <c r="C21" s="18" t="s">
        <v>20</v>
      </c>
      <c r="D21" s="42">
        <v>9000</v>
      </c>
      <c r="E21" s="42">
        <v>67000</v>
      </c>
      <c r="F21" s="42">
        <v>14500</v>
      </c>
      <c r="G21" s="42">
        <v>65000</v>
      </c>
      <c r="H21" s="42">
        <v>8500</v>
      </c>
      <c r="I21" s="42">
        <v>69000</v>
      </c>
      <c r="J21" s="28"/>
    </row>
    <row r="22" spans="1:10">
      <c r="B22" s="68" t="s">
        <v>32</v>
      </c>
      <c r="C22" s="69" t="s">
        <v>33</v>
      </c>
      <c r="D22" s="89">
        <v>30</v>
      </c>
      <c r="E22" s="89">
        <v>55</v>
      </c>
      <c r="F22" s="89">
        <v>25</v>
      </c>
      <c r="G22" s="89">
        <v>55</v>
      </c>
      <c r="H22" s="89">
        <v>40</v>
      </c>
      <c r="I22" s="89">
        <v>60</v>
      </c>
      <c r="J22" s="28"/>
    </row>
    <row r="23" spans="1:10">
      <c r="B23" s="68" t="s">
        <v>34</v>
      </c>
      <c r="C23" s="69" t="s">
        <v>33</v>
      </c>
      <c r="D23" s="89">
        <v>30</v>
      </c>
      <c r="E23" s="89">
        <v>50</v>
      </c>
      <c r="F23" s="89">
        <v>25</v>
      </c>
      <c r="G23" s="89">
        <v>50</v>
      </c>
      <c r="H23" s="89">
        <v>40</v>
      </c>
      <c r="I23" s="89">
        <v>50</v>
      </c>
      <c r="J23" s="28"/>
    </row>
    <row r="24" spans="1:10">
      <c r="B24" s="68" t="s">
        <v>35</v>
      </c>
      <c r="C24" s="69" t="s">
        <v>33</v>
      </c>
      <c r="D24" s="42">
        <v>20</v>
      </c>
      <c r="E24" s="42">
        <v>30</v>
      </c>
      <c r="F24" s="42">
        <v>15</v>
      </c>
      <c r="G24" s="42">
        <v>30</v>
      </c>
      <c r="H24" s="42">
        <v>22</v>
      </c>
      <c r="I24" s="42">
        <v>35</v>
      </c>
      <c r="J24" s="28"/>
    </row>
    <row r="25" spans="1:10">
      <c r="A25" s="13"/>
      <c r="B25" s="13"/>
      <c r="C25" s="13"/>
      <c r="D25" s="67"/>
      <c r="E25" s="67"/>
      <c r="F25" s="13"/>
      <c r="G25" s="13"/>
      <c r="H25" s="13"/>
      <c r="I25" s="13"/>
      <c r="J25" s="30"/>
    </row>
    <row r="27" spans="1:10">
      <c r="B27" s="29" t="s">
        <v>4</v>
      </c>
      <c r="C27" s="23" t="s">
        <v>36</v>
      </c>
      <c r="D27" s="63"/>
      <c r="E27" s="63"/>
    </row>
    <row r="28" spans="1:10">
      <c r="A28" s="24"/>
      <c r="B28" s="25"/>
      <c r="C28" s="26"/>
      <c r="D28" s="64"/>
      <c r="E28" s="64"/>
      <c r="F28" s="24"/>
      <c r="G28" s="24"/>
      <c r="H28" s="24"/>
      <c r="I28" s="24"/>
      <c r="J28" s="27"/>
    </row>
    <row r="29" spans="1:10">
      <c r="B29" s="2" t="s">
        <v>6</v>
      </c>
      <c r="J29" s="28"/>
    </row>
    <row r="30" spans="1:10">
      <c r="B30" s="21" t="s">
        <v>9</v>
      </c>
      <c r="C30" s="21" t="s">
        <v>10</v>
      </c>
      <c r="D30" s="66" t="s">
        <v>3</v>
      </c>
      <c r="E30" s="66" t="s">
        <v>155</v>
      </c>
      <c r="F30" s="66" t="s">
        <v>8</v>
      </c>
      <c r="G30" s="66" t="s">
        <v>156</v>
      </c>
      <c r="H30" s="71" t="s">
        <v>157</v>
      </c>
      <c r="I30" s="66" t="s">
        <v>158</v>
      </c>
      <c r="J30" s="28"/>
    </row>
    <row r="31" spans="1:10">
      <c r="B31" s="17" t="s">
        <v>14</v>
      </c>
      <c r="C31" s="18" t="s">
        <v>15</v>
      </c>
      <c r="D31" s="42">
        <v>50000</v>
      </c>
      <c r="E31" s="42">
        <v>50000</v>
      </c>
      <c r="F31" s="42">
        <v>60000</v>
      </c>
      <c r="G31" s="42">
        <v>50000</v>
      </c>
      <c r="H31" s="42">
        <v>50000</v>
      </c>
      <c r="I31" s="42">
        <v>50000</v>
      </c>
      <c r="J31" s="28"/>
    </row>
    <row r="32" spans="1:10">
      <c r="B32" s="17" t="s">
        <v>16</v>
      </c>
      <c r="C32" s="18" t="s">
        <v>15</v>
      </c>
      <c r="D32" s="42">
        <v>70000</v>
      </c>
      <c r="E32" s="42">
        <v>70000</v>
      </c>
      <c r="F32" s="42">
        <v>80000</v>
      </c>
      <c r="G32" s="42">
        <v>70000</v>
      </c>
      <c r="H32" s="42">
        <v>70000</v>
      </c>
      <c r="I32" s="42">
        <v>70000</v>
      </c>
      <c r="J32" s="28"/>
    </row>
    <row r="33" spans="2:10">
      <c r="B33" s="17" t="s">
        <v>17</v>
      </c>
      <c r="C33" s="18" t="s">
        <v>18</v>
      </c>
      <c r="D33" s="42">
        <v>7.0000000000000007E-2</v>
      </c>
      <c r="E33" s="42">
        <v>0.09</v>
      </c>
      <c r="F33" s="42">
        <v>0.08</v>
      </c>
      <c r="G33" s="42">
        <v>0.18</v>
      </c>
      <c r="H33" s="42">
        <v>9.5000000000000001E-2</v>
      </c>
      <c r="I33" s="42">
        <v>6.8000000000000005E-2</v>
      </c>
      <c r="J33" s="28"/>
    </row>
    <row r="34" spans="2:10">
      <c r="B34" s="17" t="s">
        <v>19</v>
      </c>
      <c r="C34" s="18" t="s">
        <v>20</v>
      </c>
      <c r="D34" s="42">
        <v>9000</v>
      </c>
      <c r="E34" s="42">
        <v>67000</v>
      </c>
      <c r="F34" s="42">
        <v>14500</v>
      </c>
      <c r="G34" s="42">
        <v>65000</v>
      </c>
      <c r="H34" s="42">
        <v>8500</v>
      </c>
      <c r="I34" s="42">
        <v>69000</v>
      </c>
      <c r="J34" s="28"/>
    </row>
    <row r="35" spans="2:10">
      <c r="B35" s="17" t="s">
        <v>21</v>
      </c>
      <c r="C35" s="18" t="s">
        <v>22</v>
      </c>
      <c r="D35" s="42">
        <v>15</v>
      </c>
      <c r="E35" s="42">
        <v>20</v>
      </c>
      <c r="F35" s="42">
        <v>13</v>
      </c>
      <c r="G35" s="42">
        <v>20</v>
      </c>
      <c r="H35" s="42">
        <v>16</v>
      </c>
      <c r="I35" s="42">
        <v>25</v>
      </c>
      <c r="J35" s="28"/>
    </row>
    <row r="36" spans="2:10">
      <c r="B36" s="17" t="s">
        <v>23</v>
      </c>
      <c r="C36" s="18" t="s">
        <v>22</v>
      </c>
      <c r="D36" s="42">
        <v>5</v>
      </c>
      <c r="E36" s="42">
        <v>7</v>
      </c>
      <c r="F36" s="42">
        <v>3</v>
      </c>
      <c r="G36" s="42">
        <v>7</v>
      </c>
      <c r="H36" s="42">
        <v>6</v>
      </c>
      <c r="I36" s="42">
        <v>10</v>
      </c>
      <c r="J36" s="28"/>
    </row>
    <row r="37" spans="2:10">
      <c r="J37" s="28"/>
    </row>
    <row r="38" spans="2:10">
      <c r="B38" s="2" t="s">
        <v>24</v>
      </c>
      <c r="J38" s="28"/>
    </row>
    <row r="39" spans="2:10">
      <c r="B39" s="21" t="s">
        <v>9</v>
      </c>
      <c r="C39" s="21" t="s">
        <v>10</v>
      </c>
      <c r="D39" s="66" t="s">
        <v>3</v>
      </c>
      <c r="E39" s="66" t="s">
        <v>155</v>
      </c>
      <c r="F39" s="66" t="s">
        <v>8</v>
      </c>
      <c r="G39" s="66" t="s">
        <v>156</v>
      </c>
      <c r="H39" s="66" t="s">
        <v>157</v>
      </c>
      <c r="I39" s="66" t="s">
        <v>158</v>
      </c>
      <c r="J39" s="28"/>
    </row>
    <row r="40" spans="2:10">
      <c r="B40" s="17" t="s">
        <v>14</v>
      </c>
      <c r="C40" s="18" t="s">
        <v>27</v>
      </c>
      <c r="D40" s="8">
        <v>4000000000</v>
      </c>
      <c r="E40" s="8">
        <v>4000000000</v>
      </c>
      <c r="F40" s="8">
        <v>5000000000</v>
      </c>
      <c r="G40" s="8">
        <f>0.2*10^9</f>
        <v>200000000</v>
      </c>
      <c r="H40" s="8">
        <v>4000000000</v>
      </c>
      <c r="I40" s="8">
        <v>2000000000</v>
      </c>
      <c r="J40" s="28"/>
    </row>
    <row r="41" spans="2:10">
      <c r="B41" s="17" t="s">
        <v>16</v>
      </c>
      <c r="C41" s="18" t="s">
        <v>27</v>
      </c>
      <c r="D41" s="8">
        <v>6000000000</v>
      </c>
      <c r="E41" s="8">
        <v>6000000000</v>
      </c>
      <c r="F41" s="8">
        <v>10000000000</v>
      </c>
      <c r="G41" s="8">
        <v>2000000000</v>
      </c>
      <c r="H41" s="8">
        <v>10000000000</v>
      </c>
      <c r="I41" s="8">
        <v>5000000000</v>
      </c>
      <c r="J41" s="28"/>
    </row>
    <row r="42" spans="2:10">
      <c r="B42" s="17" t="s">
        <v>28</v>
      </c>
      <c r="C42" s="18" t="s">
        <v>29</v>
      </c>
      <c r="D42" s="8">
        <v>40</v>
      </c>
      <c r="E42" s="8">
        <v>45</v>
      </c>
      <c r="F42" s="8">
        <v>35</v>
      </c>
      <c r="G42" s="8">
        <v>45</v>
      </c>
      <c r="H42" s="8">
        <v>40</v>
      </c>
      <c r="I42" s="8">
        <v>55</v>
      </c>
      <c r="J42" s="28"/>
    </row>
    <row r="43" spans="2:10">
      <c r="B43" s="17" t="s">
        <v>30</v>
      </c>
      <c r="C43" s="18" t="s">
        <v>29</v>
      </c>
      <c r="D43" s="8">
        <v>35</v>
      </c>
      <c r="E43" s="8">
        <v>50</v>
      </c>
      <c r="F43" s="8">
        <v>30</v>
      </c>
      <c r="G43" s="8">
        <v>50</v>
      </c>
      <c r="H43" s="8">
        <v>35</v>
      </c>
      <c r="I43" s="8">
        <v>60</v>
      </c>
      <c r="J43" s="28"/>
    </row>
    <row r="44" spans="2:10">
      <c r="B44" s="17" t="s">
        <v>31</v>
      </c>
      <c r="C44" s="18" t="s">
        <v>29</v>
      </c>
      <c r="D44" s="8">
        <v>13</v>
      </c>
      <c r="E44" s="8">
        <v>20</v>
      </c>
      <c r="F44" s="8">
        <v>10</v>
      </c>
      <c r="G44" s="8">
        <v>20</v>
      </c>
      <c r="H44" s="8">
        <v>15</v>
      </c>
      <c r="I44" s="8">
        <v>25</v>
      </c>
      <c r="J44" s="28"/>
    </row>
    <row r="45" spans="2:10">
      <c r="B45" s="17" t="s">
        <v>17</v>
      </c>
      <c r="C45" s="18" t="s">
        <v>18</v>
      </c>
      <c r="D45" s="42">
        <v>7.0000000000000007E-2</v>
      </c>
      <c r="E45" s="42">
        <v>0.09</v>
      </c>
      <c r="F45" s="42">
        <v>0.08</v>
      </c>
      <c r="G45" s="42">
        <v>0.18</v>
      </c>
      <c r="H45" s="42">
        <v>9.5000000000000001E-2</v>
      </c>
      <c r="I45" s="42">
        <v>6.8000000000000005E-2</v>
      </c>
      <c r="J45" s="28"/>
    </row>
    <row r="46" spans="2:10">
      <c r="B46" s="17" t="s">
        <v>19</v>
      </c>
      <c r="C46" s="18" t="s">
        <v>20</v>
      </c>
      <c r="D46" s="42">
        <v>9000</v>
      </c>
      <c r="E46" s="42">
        <v>67000</v>
      </c>
      <c r="F46" s="42">
        <v>14500</v>
      </c>
      <c r="G46" s="42">
        <v>65000</v>
      </c>
      <c r="H46" s="42">
        <v>8500</v>
      </c>
      <c r="I46" s="42">
        <v>69000</v>
      </c>
      <c r="J46" s="28"/>
    </row>
    <row r="47" spans="2:10">
      <c r="B47" s="68" t="s">
        <v>32</v>
      </c>
      <c r="C47" s="69" t="s">
        <v>33</v>
      </c>
      <c r="D47" s="89">
        <v>30</v>
      </c>
      <c r="E47" s="89">
        <v>55</v>
      </c>
      <c r="F47" s="89">
        <v>25</v>
      </c>
      <c r="G47" s="89">
        <v>55</v>
      </c>
      <c r="H47" s="89">
        <v>40</v>
      </c>
      <c r="I47" s="89">
        <v>60</v>
      </c>
      <c r="J47" s="28"/>
    </row>
    <row r="48" spans="2:10">
      <c r="B48" s="68" t="s">
        <v>34</v>
      </c>
      <c r="C48" s="69" t="s">
        <v>33</v>
      </c>
      <c r="D48" s="89">
        <v>30</v>
      </c>
      <c r="E48" s="89">
        <v>50</v>
      </c>
      <c r="F48" s="89">
        <v>25</v>
      </c>
      <c r="G48" s="89">
        <v>50</v>
      </c>
      <c r="H48" s="89">
        <v>40</v>
      </c>
      <c r="I48" s="89">
        <v>50</v>
      </c>
      <c r="J48" s="28"/>
    </row>
    <row r="49" spans="1:18">
      <c r="B49" s="68" t="s">
        <v>35</v>
      </c>
      <c r="C49" s="69" t="s">
        <v>33</v>
      </c>
      <c r="D49" s="42">
        <v>20</v>
      </c>
      <c r="E49" s="42">
        <v>30</v>
      </c>
      <c r="F49" s="42">
        <v>15</v>
      </c>
      <c r="G49" s="42">
        <v>30</v>
      </c>
      <c r="H49" s="42">
        <v>22</v>
      </c>
      <c r="I49" s="42">
        <v>35</v>
      </c>
      <c r="J49" s="28"/>
    </row>
    <row r="50" spans="1:18">
      <c r="A50" s="13"/>
      <c r="B50" s="13"/>
      <c r="C50" s="13"/>
      <c r="D50" s="67"/>
      <c r="E50" s="67"/>
      <c r="F50" s="13"/>
      <c r="G50" s="13"/>
      <c r="H50" s="13"/>
      <c r="I50" s="13"/>
      <c r="J50" s="30"/>
    </row>
    <row r="51" spans="1:18">
      <c r="D51" s="1"/>
      <c r="E51" s="1"/>
    </row>
    <row r="52" spans="1:18">
      <c r="B52" s="70" t="s">
        <v>159</v>
      </c>
      <c r="D52" s="1"/>
      <c r="E52" s="1"/>
    </row>
    <row r="53" spans="1:18">
      <c r="A53" s="24"/>
      <c r="B53" s="153"/>
      <c r="C53" s="24"/>
      <c r="D53" s="24"/>
      <c r="E53" s="24"/>
      <c r="F53" s="24"/>
      <c r="G53" s="24"/>
      <c r="H53" s="24"/>
      <c r="I53" s="24"/>
      <c r="J53" s="27"/>
    </row>
    <row r="54" spans="1:18" ht="14.7" customHeight="1">
      <c r="B54" s="2" t="s">
        <v>160</v>
      </c>
      <c r="D54" s="1"/>
      <c r="E54" s="1"/>
      <c r="J54" s="28"/>
    </row>
    <row r="55" spans="1:18" customFormat="1">
      <c r="B55" s="21" t="s">
        <v>161</v>
      </c>
      <c r="C55" s="148" t="s">
        <v>162</v>
      </c>
      <c r="D55" s="66">
        <v>2025</v>
      </c>
      <c r="E55" s="66">
        <v>2026</v>
      </c>
      <c r="F55" s="66">
        <v>2027</v>
      </c>
      <c r="G55" s="66">
        <v>2028</v>
      </c>
      <c r="H55" s="66">
        <v>2029</v>
      </c>
      <c r="I55" s="66">
        <v>2030</v>
      </c>
      <c r="J55" s="154"/>
      <c r="K55" s="1"/>
      <c r="L55" s="1"/>
      <c r="M55" s="1"/>
      <c r="N55" s="1"/>
      <c r="O55" s="1"/>
      <c r="P55" s="1"/>
      <c r="Q55" s="1"/>
      <c r="R55" s="1"/>
    </row>
    <row r="56" spans="1:18">
      <c r="B56" s="17" t="s">
        <v>8</v>
      </c>
      <c r="C56" s="18" t="s">
        <v>3</v>
      </c>
      <c r="D56" s="44">
        <v>1.0844319230769232E-2</v>
      </c>
      <c r="E56" s="44">
        <v>2.0411923076923078E-2</v>
      </c>
      <c r="F56" s="44">
        <v>2.2112872307383076E-2</v>
      </c>
      <c r="G56" s="44">
        <v>2.206861475370675E-2</v>
      </c>
      <c r="H56" s="44">
        <v>2.1367319580949794E-2</v>
      </c>
      <c r="I56" s="44">
        <v>2.1201930534651081E-2</v>
      </c>
      <c r="J56" s="28"/>
    </row>
    <row r="57" spans="1:18">
      <c r="B57" s="17" t="s">
        <v>8</v>
      </c>
      <c r="C57" s="18" t="s">
        <v>157</v>
      </c>
      <c r="D57" s="44">
        <v>1.0920646153846152E-2</v>
      </c>
      <c r="E57" s="44">
        <v>2.0484615384615386E-2</v>
      </c>
      <c r="F57" s="44">
        <v>2.2185564615075381E-2</v>
      </c>
      <c r="G57" s="44">
        <v>2.2139489753706752E-2</v>
      </c>
      <c r="H57" s="44">
        <v>2.1436377273257486E-2</v>
      </c>
      <c r="I57" s="44">
        <v>2.1270624765420312E-2</v>
      </c>
      <c r="J57" s="28"/>
    </row>
    <row r="58" spans="1:18">
      <c r="B58" s="17" t="s">
        <v>8</v>
      </c>
      <c r="C58" s="18" t="s">
        <v>155</v>
      </c>
      <c r="D58" s="44">
        <v>1.1005453846153845E-2</v>
      </c>
      <c r="E58" s="44">
        <v>2.0565384615384617E-2</v>
      </c>
      <c r="F58" s="44">
        <v>2.2266333845844612E-2</v>
      </c>
      <c r="G58" s="44">
        <v>2.2218239753706751E-2</v>
      </c>
      <c r="H58" s="44">
        <v>2.1513108042488256E-2</v>
      </c>
      <c r="I58" s="44">
        <v>2.1346951688497238E-2</v>
      </c>
      <c r="J58" s="28"/>
    </row>
    <row r="59" spans="1:18">
      <c r="B59" s="17" t="s">
        <v>8</v>
      </c>
      <c r="C59" s="18" t="s">
        <v>156</v>
      </c>
      <c r="D59" s="44">
        <v>1.1358819230769229E-2</v>
      </c>
      <c r="E59" s="44">
        <v>2.0901923076923075E-2</v>
      </c>
      <c r="F59" s="44">
        <v>2.2602872307383073E-2</v>
      </c>
      <c r="G59" s="44">
        <v>2.2546364753706749E-2</v>
      </c>
      <c r="H59" s="44">
        <v>2.1832819580949792E-2</v>
      </c>
      <c r="I59" s="44">
        <v>2.1664980534651081E-2</v>
      </c>
      <c r="J59" s="28"/>
    </row>
    <row r="60" spans="1:18">
      <c r="B60" s="17" t="s">
        <v>3</v>
      </c>
      <c r="C60" s="18" t="s">
        <v>158</v>
      </c>
      <c r="D60" s="44">
        <v>8.7759000000000004E-2</v>
      </c>
      <c r="E60" s="44">
        <v>8.3580000000000002E-2</v>
      </c>
      <c r="F60" s="44">
        <v>8.3580000000000002E-2</v>
      </c>
      <c r="G60" s="44">
        <v>8.1490499999999993E-2</v>
      </c>
      <c r="H60" s="44">
        <v>7.9400999999999999E-2</v>
      </c>
      <c r="I60" s="44">
        <v>7.8983100000000001E-2</v>
      </c>
      <c r="J60" s="28"/>
    </row>
    <row r="61" spans="1:18">
      <c r="D61" s="1"/>
      <c r="E61" s="1"/>
      <c r="J61" s="28"/>
      <c r="L61" s="152"/>
      <c r="M61" s="152"/>
      <c r="N61" s="152"/>
      <c r="O61" s="152"/>
    </row>
    <row r="62" spans="1:18">
      <c r="A62" s="13"/>
      <c r="B62" s="155" t="s">
        <v>4</v>
      </c>
      <c r="C62" s="156" t="s">
        <v>5</v>
      </c>
      <c r="D62" s="13"/>
      <c r="E62" s="13"/>
      <c r="F62" s="13"/>
      <c r="G62" s="13"/>
      <c r="H62" s="13"/>
      <c r="I62" s="13"/>
      <c r="J62" s="30"/>
      <c r="L62" s="152"/>
      <c r="M62" s="152"/>
      <c r="N62" s="152"/>
      <c r="O62" s="152"/>
    </row>
    <row r="63" spans="1:18">
      <c r="B63" s="2"/>
      <c r="D63" s="1"/>
      <c r="E63" s="1"/>
      <c r="J63" s="27"/>
    </row>
    <row r="64" spans="1:18">
      <c r="B64" s="2" t="s">
        <v>163</v>
      </c>
      <c r="D64" s="1"/>
      <c r="E64" s="1"/>
      <c r="J64" s="28"/>
    </row>
    <row r="65" spans="2:10">
      <c r="B65" s="21" t="s">
        <v>161</v>
      </c>
      <c r="C65" s="21" t="s">
        <v>162</v>
      </c>
      <c r="D65" s="21">
        <v>2025</v>
      </c>
      <c r="E65" s="21">
        <v>2026</v>
      </c>
      <c r="F65" s="21">
        <v>2027</v>
      </c>
      <c r="G65" s="21">
        <v>2028</v>
      </c>
      <c r="H65" s="21">
        <v>2029</v>
      </c>
      <c r="I65" s="21">
        <v>2030</v>
      </c>
      <c r="J65" s="28"/>
    </row>
    <row r="66" spans="2:10">
      <c r="B66" s="17" t="s">
        <v>8</v>
      </c>
      <c r="C66" s="18" t="s">
        <v>3</v>
      </c>
      <c r="D66" s="44">
        <v>2.2649465485420638E-2</v>
      </c>
      <c r="E66" s="44">
        <v>3.5982798818753971E-2</v>
      </c>
      <c r="F66" s="44">
        <v>3.8982798818753973E-2</v>
      </c>
      <c r="G66" s="44">
        <v>3.8482798818753973E-2</v>
      </c>
      <c r="H66" s="44">
        <v>3.7982798818753973E-2</v>
      </c>
      <c r="I66" s="44">
        <v>3.7482798818753972E-2</v>
      </c>
      <c r="J66" s="28"/>
    </row>
    <row r="67" spans="2:10">
      <c r="B67" s="17" t="s">
        <v>8</v>
      </c>
      <c r="C67" s="18" t="s">
        <v>157</v>
      </c>
      <c r="D67" s="44">
        <v>2.2693332464030266E-2</v>
      </c>
      <c r="E67" s="44">
        <v>3.6026665797363598E-2</v>
      </c>
      <c r="F67" s="44">
        <v>3.9026665797363601E-2</v>
      </c>
      <c r="G67" s="44">
        <v>3.85266657973636E-2</v>
      </c>
      <c r="H67" s="44">
        <v>3.80266657973636E-2</v>
      </c>
      <c r="I67" s="44">
        <v>3.7526665797363599E-2</v>
      </c>
      <c r="J67" s="28"/>
    </row>
    <row r="68" spans="2:10">
      <c r="B68" s="17" t="s">
        <v>8</v>
      </c>
      <c r="C68" s="18" t="s">
        <v>155</v>
      </c>
      <c r="D68" s="44">
        <v>2.2742073551374292E-2</v>
      </c>
      <c r="E68" s="44">
        <v>3.6075406884707624E-2</v>
      </c>
      <c r="F68" s="44">
        <v>3.9075406884707627E-2</v>
      </c>
      <c r="G68" s="44">
        <v>3.8575406884707626E-2</v>
      </c>
      <c r="H68" s="44">
        <v>3.8075406884707626E-2</v>
      </c>
      <c r="I68" s="44">
        <v>3.7575406884707625E-2</v>
      </c>
      <c r="J68" s="28"/>
    </row>
    <row r="69" spans="2:10">
      <c r="B69" s="17" t="s">
        <v>8</v>
      </c>
      <c r="C69" s="18" t="s">
        <v>156</v>
      </c>
      <c r="D69" s="44">
        <v>2.2945161415307745E-2</v>
      </c>
      <c r="E69" s="44">
        <v>3.6278494748641074E-2</v>
      </c>
      <c r="F69" s="44">
        <v>3.9278494748641077E-2</v>
      </c>
      <c r="G69" s="44">
        <v>3.8778494748641076E-2</v>
      </c>
      <c r="H69" s="44">
        <v>3.8278494748641076E-2</v>
      </c>
      <c r="I69" s="44">
        <v>3.7778494748641075E-2</v>
      </c>
      <c r="J69" s="28"/>
    </row>
    <row r="70" spans="2:10">
      <c r="B70" s="17" t="s">
        <v>3</v>
      </c>
      <c r="C70" s="18" t="s">
        <v>158</v>
      </c>
      <c r="D70" s="44">
        <v>0.10406733983214497</v>
      </c>
      <c r="E70" s="44">
        <v>0.13073400649881164</v>
      </c>
      <c r="F70" s="44">
        <v>0.13673400649881165</v>
      </c>
      <c r="G70" s="44">
        <v>0.13573400649881165</v>
      </c>
      <c r="H70" s="44">
        <v>0.13473400649881165</v>
      </c>
      <c r="I70" s="44">
        <v>0.13373400649881165</v>
      </c>
      <c r="J70" s="28"/>
    </row>
    <row r="71" spans="2:10">
      <c r="D71" s="1"/>
      <c r="E71" s="1"/>
      <c r="J71" s="28"/>
    </row>
    <row r="72" spans="2:10">
      <c r="B72" s="2" t="s">
        <v>164</v>
      </c>
      <c r="D72" s="1"/>
      <c r="E72" s="1"/>
      <c r="J72" s="28"/>
    </row>
    <row r="73" spans="2:10">
      <c r="B73" s="21" t="s">
        <v>161</v>
      </c>
      <c r="C73" s="21" t="s">
        <v>162</v>
      </c>
      <c r="D73" s="21">
        <v>2025</v>
      </c>
      <c r="E73" s="21">
        <v>2026</v>
      </c>
      <c r="F73" s="21">
        <v>2027</v>
      </c>
      <c r="G73" s="21">
        <v>2028</v>
      </c>
      <c r="H73" s="21">
        <v>2029</v>
      </c>
      <c r="I73" s="21">
        <v>2030</v>
      </c>
      <c r="J73" s="28"/>
    </row>
    <row r="74" spans="2:10">
      <c r="B74" s="17" t="s">
        <v>8</v>
      </c>
      <c r="C74" s="18" t="s">
        <v>3</v>
      </c>
      <c r="D74" s="44">
        <v>4.1161767142965842E-2</v>
      </c>
      <c r="E74" s="44">
        <v>5.4495100476299171E-2</v>
      </c>
      <c r="F74" s="44">
        <v>5.3495100476299171E-2</v>
      </c>
      <c r="G74" s="44">
        <v>5.249510047629917E-2</v>
      </c>
      <c r="H74" s="44">
        <v>5.1495100476299169E-2</v>
      </c>
      <c r="I74" s="44">
        <v>5.0995100476299168E-2</v>
      </c>
      <c r="J74" s="28"/>
    </row>
    <row r="75" spans="2:10">
      <c r="B75" s="17" t="s">
        <v>8</v>
      </c>
      <c r="C75" s="18" t="s">
        <v>157</v>
      </c>
      <c r="D75" s="44">
        <v>4.120563412157547E-2</v>
      </c>
      <c r="E75" s="44">
        <v>5.4538967454908799E-2</v>
      </c>
      <c r="F75" s="44">
        <v>5.3538967454908798E-2</v>
      </c>
      <c r="G75" s="44">
        <v>5.2538967454908797E-2</v>
      </c>
      <c r="H75" s="44">
        <v>5.1538967454908796E-2</v>
      </c>
      <c r="I75" s="44">
        <v>5.1038967454908796E-2</v>
      </c>
      <c r="J75" s="28"/>
    </row>
    <row r="76" spans="2:10">
      <c r="B76" s="17" t="s">
        <v>8</v>
      </c>
      <c r="C76" s="18" t="s">
        <v>155</v>
      </c>
      <c r="D76" s="44">
        <v>4.1254375208919496E-2</v>
      </c>
      <c r="E76" s="44">
        <v>5.4587708542252825E-2</v>
      </c>
      <c r="F76" s="44">
        <v>5.3587708542252824E-2</v>
      </c>
      <c r="G76" s="44">
        <v>5.2587708542252823E-2</v>
      </c>
      <c r="H76" s="44">
        <v>5.1587708542252822E-2</v>
      </c>
      <c r="I76" s="44">
        <v>5.1087708542252822E-2</v>
      </c>
      <c r="J76" s="28"/>
    </row>
    <row r="77" spans="2:10">
      <c r="B77" s="17" t="s">
        <v>8</v>
      </c>
      <c r="C77" s="18" t="s">
        <v>156</v>
      </c>
      <c r="D77" s="44">
        <v>4.1457463072852953E-2</v>
      </c>
      <c r="E77" s="44">
        <v>5.4790796406186282E-2</v>
      </c>
      <c r="F77" s="44">
        <v>5.3790796406186281E-2</v>
      </c>
      <c r="G77" s="44">
        <v>5.279079640618628E-2</v>
      </c>
      <c r="H77" s="44">
        <v>5.1790796406186279E-2</v>
      </c>
      <c r="I77" s="44">
        <v>5.1290796406186279E-2</v>
      </c>
      <c r="J77" s="28"/>
    </row>
    <row r="78" spans="2:10">
      <c r="B78" s="17" t="s">
        <v>3</v>
      </c>
      <c r="C78" s="18" t="s">
        <v>158</v>
      </c>
      <c r="D78" s="44">
        <v>0.18177777416305702</v>
      </c>
      <c r="E78" s="44">
        <v>0.17346725139864821</v>
      </c>
      <c r="F78" s="44">
        <v>0.17146725139864821</v>
      </c>
      <c r="G78" s="44">
        <v>0.16946725139864821</v>
      </c>
      <c r="H78" s="44">
        <v>0.16746725139864821</v>
      </c>
      <c r="I78" s="44">
        <v>0.16646725139864821</v>
      </c>
      <c r="J78" s="28"/>
    </row>
    <row r="79" spans="2:10">
      <c r="D79" s="1"/>
      <c r="E79" s="1"/>
      <c r="J79" s="28"/>
    </row>
    <row r="80" spans="2:10">
      <c r="B80" s="29" t="s">
        <v>4</v>
      </c>
      <c r="C80" s="23" t="s">
        <v>36</v>
      </c>
      <c r="D80" s="1"/>
      <c r="E80" s="1"/>
      <c r="J80" s="30"/>
    </row>
    <row r="81" spans="1:10">
      <c r="A81" s="24"/>
      <c r="B81" s="24"/>
      <c r="C81" s="24"/>
      <c r="D81" s="24"/>
      <c r="E81" s="24"/>
      <c r="F81" s="24"/>
      <c r="G81" s="24"/>
      <c r="H81" s="24"/>
      <c r="I81" s="24"/>
      <c r="J81" s="27"/>
    </row>
    <row r="82" spans="1:10">
      <c r="B82" s="2" t="s">
        <v>163</v>
      </c>
      <c r="D82" s="1"/>
      <c r="E82" s="1"/>
      <c r="J82" s="28"/>
    </row>
    <row r="83" spans="1:10">
      <c r="B83" s="21" t="s">
        <v>161</v>
      </c>
      <c r="C83" s="21" t="s">
        <v>162</v>
      </c>
      <c r="D83" s="21">
        <v>2025</v>
      </c>
      <c r="E83" s="21">
        <v>2026</v>
      </c>
      <c r="F83" s="21">
        <v>2027</v>
      </c>
      <c r="G83" s="21">
        <v>2028</v>
      </c>
      <c r="H83" s="21">
        <v>2029</v>
      </c>
      <c r="I83" s="21">
        <v>2030</v>
      </c>
      <c r="J83" s="28"/>
    </row>
    <row r="84" spans="1:10">
      <c r="B84" s="17" t="s">
        <v>8</v>
      </c>
      <c r="C84" s="18" t="s">
        <v>3</v>
      </c>
      <c r="D84" s="44">
        <v>2.042202293450612E-2</v>
      </c>
      <c r="E84" s="44">
        <v>3.3755356267839452E-2</v>
      </c>
      <c r="F84" s="44">
        <v>3.6755356267839455E-2</v>
      </c>
      <c r="G84" s="44">
        <v>3.6255356267839454E-2</v>
      </c>
      <c r="H84" s="44">
        <v>3.5755356267839454E-2</v>
      </c>
      <c r="I84" s="44">
        <v>3.5255356267839454E-2</v>
      </c>
      <c r="J84" s="28"/>
    </row>
    <row r="85" spans="1:10">
      <c r="B85" s="17" t="s">
        <v>8</v>
      </c>
      <c r="C85" s="18" t="s">
        <v>157</v>
      </c>
      <c r="D85" s="44">
        <v>2.0465889913115747E-2</v>
      </c>
      <c r="E85" s="44">
        <v>3.379922324644908E-2</v>
      </c>
      <c r="F85" s="44">
        <v>3.6799223246449082E-2</v>
      </c>
      <c r="G85" s="44">
        <v>3.6299223246449082E-2</v>
      </c>
      <c r="H85" s="44">
        <v>3.5799223246449081E-2</v>
      </c>
      <c r="I85" s="44">
        <v>3.5299223246449081E-2</v>
      </c>
      <c r="J85" s="28"/>
    </row>
    <row r="86" spans="1:10">
      <c r="B86" s="17" t="s">
        <v>8</v>
      </c>
      <c r="C86" s="18" t="s">
        <v>155</v>
      </c>
      <c r="D86" s="44">
        <v>2.0514631000459773E-2</v>
      </c>
      <c r="E86" s="44">
        <v>3.3847964333793105E-2</v>
      </c>
      <c r="F86" s="44">
        <v>3.6847964333793108E-2</v>
      </c>
      <c r="G86" s="44">
        <v>3.6347964333793108E-2</v>
      </c>
      <c r="H86" s="44">
        <v>3.5847964333793107E-2</v>
      </c>
      <c r="I86" s="44">
        <v>3.5347964333793107E-2</v>
      </c>
      <c r="J86" s="28"/>
    </row>
    <row r="87" spans="1:10">
      <c r="B87" s="17" t="s">
        <v>8</v>
      </c>
      <c r="C87" s="18" t="s">
        <v>156</v>
      </c>
      <c r="D87" s="44">
        <v>2.0717718864393227E-2</v>
      </c>
      <c r="E87" s="44">
        <v>3.4051052197726556E-2</v>
      </c>
      <c r="F87" s="44">
        <v>3.7051052197726558E-2</v>
      </c>
      <c r="G87" s="44">
        <v>3.6551052197726558E-2</v>
      </c>
      <c r="H87" s="44">
        <v>3.6051052197726557E-2</v>
      </c>
      <c r="I87" s="44">
        <v>3.5551052197726557E-2</v>
      </c>
      <c r="J87" s="28"/>
    </row>
    <row r="88" spans="1:10">
      <c r="B88" s="17" t="s">
        <v>3</v>
      </c>
      <c r="C88" s="18" t="s">
        <v>158</v>
      </c>
      <c r="D88" s="44">
        <v>9.8067339832144967E-2</v>
      </c>
      <c r="E88" s="44">
        <v>0.12473400649881164</v>
      </c>
      <c r="F88" s="44">
        <v>0.13073400649881164</v>
      </c>
      <c r="G88" s="44">
        <v>0.12973400649881164</v>
      </c>
      <c r="H88" s="44">
        <v>0.12873400649881164</v>
      </c>
      <c r="I88" s="44">
        <v>0.12773400649881164</v>
      </c>
      <c r="J88" s="28"/>
    </row>
    <row r="89" spans="1:10">
      <c r="D89" s="1"/>
      <c r="E89" s="1"/>
      <c r="J89" s="28"/>
    </row>
    <row r="90" spans="1:10">
      <c r="B90" s="2" t="s">
        <v>164</v>
      </c>
      <c r="D90" s="1"/>
      <c r="E90" s="1"/>
      <c r="J90" s="28"/>
    </row>
    <row r="91" spans="1:10">
      <c r="B91" s="21" t="s">
        <v>161</v>
      </c>
      <c r="C91" s="21" t="s">
        <v>162</v>
      </c>
      <c r="D91" s="21">
        <v>2025</v>
      </c>
      <c r="E91" s="21">
        <v>2026</v>
      </c>
      <c r="F91" s="21">
        <v>2027</v>
      </c>
      <c r="G91" s="21">
        <v>2028</v>
      </c>
      <c r="H91" s="21">
        <v>2029</v>
      </c>
      <c r="I91" s="21">
        <v>2030</v>
      </c>
      <c r="J91" s="28"/>
    </row>
    <row r="92" spans="1:10">
      <c r="B92" s="17" t="s">
        <v>8</v>
      </c>
      <c r="C92" s="18" t="s">
        <v>3</v>
      </c>
      <c r="D92" s="44">
        <v>3.2079264597226459E-2</v>
      </c>
      <c r="E92" s="44">
        <v>2.6579264597226464E-2</v>
      </c>
      <c r="F92" s="44">
        <v>2.5579264597226464E-2</v>
      </c>
      <c r="G92" s="44">
        <v>2.4579264597226463E-2</v>
      </c>
      <c r="H92" s="44">
        <v>2.3579264597226462E-2</v>
      </c>
      <c r="I92" s="44">
        <v>2.3079264597226461E-2</v>
      </c>
      <c r="J92" s="28"/>
    </row>
    <row r="93" spans="1:10">
      <c r="B93" s="17" t="s">
        <v>8</v>
      </c>
      <c r="C93" s="18" t="s">
        <v>157</v>
      </c>
      <c r="D93" s="44">
        <v>3.2123131575836086E-2</v>
      </c>
      <c r="E93" s="44">
        <v>2.6623131575836088E-2</v>
      </c>
      <c r="F93" s="44">
        <v>2.5623131575836088E-2</v>
      </c>
      <c r="G93" s="44">
        <v>2.4623131575836087E-2</v>
      </c>
      <c r="H93" s="44">
        <v>2.3623131575836086E-2</v>
      </c>
      <c r="I93" s="44">
        <v>2.3123131575836085E-2</v>
      </c>
      <c r="J93" s="28"/>
    </row>
    <row r="94" spans="1:10">
      <c r="B94" s="17" t="s">
        <v>8</v>
      </c>
      <c r="C94" s="18" t="s">
        <v>155</v>
      </c>
      <c r="D94" s="44">
        <v>3.2221872663180114E-2</v>
      </c>
      <c r="E94" s="44">
        <v>2.6721872663180116E-2</v>
      </c>
      <c r="F94" s="44">
        <v>2.5721872663180115E-2</v>
      </c>
      <c r="G94" s="44">
        <v>2.4721872663180114E-2</v>
      </c>
      <c r="H94" s="44">
        <v>2.3721872663180113E-2</v>
      </c>
      <c r="I94" s="44">
        <v>2.3221872663180113E-2</v>
      </c>
      <c r="J94" s="28"/>
    </row>
    <row r="95" spans="1:10">
      <c r="B95" s="17" t="s">
        <v>8</v>
      </c>
      <c r="C95" s="18" t="s">
        <v>156</v>
      </c>
      <c r="D95" s="44">
        <v>3.2374960527113569E-2</v>
      </c>
      <c r="E95" s="44">
        <v>2.6874960527113568E-2</v>
      </c>
      <c r="F95" s="44">
        <v>2.5874960527113567E-2</v>
      </c>
      <c r="G95" s="44">
        <v>2.4874960527113566E-2</v>
      </c>
      <c r="H95" s="44">
        <v>2.3874960527113565E-2</v>
      </c>
      <c r="I95" s="44">
        <v>2.3374960527113565E-2</v>
      </c>
      <c r="J95" s="28"/>
    </row>
    <row r="96" spans="1:10">
      <c r="B96" s="17" t="s">
        <v>3</v>
      </c>
      <c r="C96" s="18" t="s">
        <v>158</v>
      </c>
      <c r="D96" s="44">
        <v>0.14612301429127383</v>
      </c>
      <c r="E96" s="44">
        <v>0.13769810992826159</v>
      </c>
      <c r="F96" s="44">
        <v>0.13310270754843673</v>
      </c>
      <c r="G96" s="44">
        <v>0.12850730516861186</v>
      </c>
      <c r="H96" s="44">
        <v>0.123911902788787</v>
      </c>
      <c r="I96" s="44">
        <v>0.121911902788787</v>
      </c>
      <c r="J96" s="28"/>
    </row>
    <row r="97" spans="1:10">
      <c r="A97" s="13"/>
      <c r="B97" s="13"/>
      <c r="C97" s="13"/>
      <c r="D97" s="13"/>
      <c r="E97" s="13"/>
      <c r="F97" s="13"/>
      <c r="G97" s="13"/>
      <c r="H97" s="13"/>
      <c r="I97" s="13"/>
      <c r="J97" s="30"/>
    </row>
    <row r="98" spans="1:10">
      <c r="D98" s="1"/>
      <c r="E98" s="1"/>
    </row>
    <row r="99" spans="1:10">
      <c r="D99" s="1"/>
      <c r="E99" s="1"/>
    </row>
    <row r="100" spans="1:10">
      <c r="D100" s="1"/>
      <c r="E100" s="1"/>
    </row>
    <row r="101" spans="1:10">
      <c r="D101" s="1"/>
      <c r="E101" s="1"/>
    </row>
    <row r="102" spans="1:10">
      <c r="D102" s="1"/>
      <c r="E102" s="1"/>
    </row>
    <row r="103" spans="1:10">
      <c r="D103" s="1"/>
      <c r="E103" s="1"/>
    </row>
    <row r="104" spans="1:10">
      <c r="D104" s="1"/>
      <c r="E104" s="1"/>
    </row>
    <row r="105" spans="1:10">
      <c r="D105" s="1"/>
      <c r="E105" s="1"/>
    </row>
    <row r="106" spans="1:10">
      <c r="D106" s="1"/>
      <c r="E106" s="1"/>
    </row>
    <row r="107" spans="1:10">
      <c r="D107" s="1"/>
      <c r="E107" s="1"/>
    </row>
    <row r="108" spans="1:10">
      <c r="D108" s="1"/>
      <c r="E108" s="1"/>
    </row>
    <row r="109" spans="1:10">
      <c r="D109" s="1"/>
      <c r="E109" s="1"/>
    </row>
    <row r="110" spans="1:10">
      <c r="D110" s="1"/>
      <c r="E110" s="1"/>
    </row>
    <row r="111" spans="1:10">
      <c r="D111" s="1"/>
      <c r="E111" s="1"/>
    </row>
    <row r="112" spans="1:10">
      <c r="D112" s="1"/>
      <c r="E112" s="1"/>
    </row>
    <row r="113" s="1" customFormat="1"/>
    <row r="114" s="1" customFormat="1"/>
    <row r="115" s="1" customFormat="1"/>
  </sheetData>
  <pageMargins left="0.7" right="0.7" top="0.75" bottom="0.75" header="0.3" footer="0.3"/>
  <headerFooter>
    <oddFooter>&amp;R_x000D_&amp;1#&amp;"Calibri"&amp;10&amp;K000000 Official Use Only</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1B152-8D3D-46AD-9C67-F57FE3887A73}">
  <sheetPr>
    <tabColor theme="2" tint="-9.9978637043366805E-2"/>
  </sheetPr>
  <dimension ref="A1:I12"/>
  <sheetViews>
    <sheetView workbookViewId="0">
      <selection activeCell="A10" sqref="A10"/>
    </sheetView>
  </sheetViews>
  <sheetFormatPr defaultColWidth="8.76953125" defaultRowHeight="14.75"/>
  <cols>
    <col min="1" max="1" width="15.08984375" style="1" bestFit="1" customWidth="1"/>
    <col min="2" max="2" width="16.2265625" style="1" bestFit="1" customWidth="1"/>
    <col min="3" max="3" width="8.76953125" style="1"/>
    <col min="4" max="4" width="13.31640625" style="1" customWidth="1"/>
    <col min="5" max="5" width="13.54296875" style="1" customWidth="1"/>
    <col min="6" max="16384" width="8.76953125" style="1"/>
  </cols>
  <sheetData>
    <row r="1" spans="1:9">
      <c r="A1" s="157" t="s">
        <v>165</v>
      </c>
      <c r="B1" s="157" t="s">
        <v>166</v>
      </c>
    </row>
    <row r="2" spans="1:9">
      <c r="A2" s="158" t="s">
        <v>156</v>
      </c>
      <c r="B2" s="159" t="s">
        <v>37</v>
      </c>
    </row>
    <row r="3" spans="1:9">
      <c r="A3" s="159"/>
      <c r="B3" s="159" t="s">
        <v>8</v>
      </c>
      <c r="C3" s="2"/>
      <c r="D3" s="2"/>
      <c r="E3" s="2"/>
      <c r="F3" s="2"/>
      <c r="G3" s="2"/>
      <c r="H3" s="2"/>
      <c r="I3" s="2"/>
    </row>
    <row r="4" spans="1:9">
      <c r="A4" s="158" t="s">
        <v>157</v>
      </c>
      <c r="B4" s="159" t="s">
        <v>37</v>
      </c>
    </row>
    <row r="5" spans="1:9">
      <c r="A5" s="159"/>
      <c r="B5" s="159" t="s">
        <v>8</v>
      </c>
    </row>
    <row r="6" spans="1:9">
      <c r="A6" s="158" t="s">
        <v>155</v>
      </c>
      <c r="B6" s="159" t="s">
        <v>37</v>
      </c>
    </row>
    <row r="7" spans="1:9">
      <c r="A7" s="159"/>
      <c r="B7" s="159" t="s">
        <v>8</v>
      </c>
    </row>
    <row r="8" spans="1:9">
      <c r="A8" s="158" t="s">
        <v>3</v>
      </c>
      <c r="B8" s="159" t="s">
        <v>37</v>
      </c>
    </row>
    <row r="9" spans="1:9">
      <c r="A9" s="159"/>
      <c r="B9" s="159" t="s">
        <v>8</v>
      </c>
    </row>
    <row r="10" spans="1:9">
      <c r="A10" s="158" t="s">
        <v>158</v>
      </c>
      <c r="B10" s="159" t="s">
        <v>37</v>
      </c>
    </row>
    <row r="11" spans="1:9">
      <c r="A11" s="159"/>
      <c r="B11" s="159" t="s">
        <v>3</v>
      </c>
    </row>
    <row r="12" spans="1:9">
      <c r="A12" s="158" t="s">
        <v>8</v>
      </c>
      <c r="B12" s="159" t="s">
        <v>37</v>
      </c>
    </row>
  </sheetData>
  <pageMargins left="0.7" right="0.7" top="0.75" bottom="0.75" header="0.3" footer="0.3"/>
  <headerFooter>
    <oddFooter>&amp;R_x000D_&amp;1#&amp;"Calibri"&amp;10&amp;K000000 Official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005BA1203B7F46A77A330CF32A946D" ma:contentTypeVersion="15" ma:contentTypeDescription="Create a new document." ma:contentTypeScope="" ma:versionID="e213ca6ec0babd2917a607ad8259b059">
  <xsd:schema xmlns:xsd="http://www.w3.org/2001/XMLSchema" xmlns:xs="http://www.w3.org/2001/XMLSchema" xmlns:p="http://schemas.microsoft.com/office/2006/metadata/properties" xmlns:ns2="b7f5957c-7da5-4c27-85eb-7459e8edadbc" xmlns:ns3="ba5b49d0-d563-40a1-b879-461d939a825e" targetNamespace="http://schemas.microsoft.com/office/2006/metadata/properties" ma:root="true" ma:fieldsID="c429c00ac45c13e4de0beed45d93be81" ns2:_="" ns3:_="">
    <xsd:import namespace="b7f5957c-7da5-4c27-85eb-7459e8edadbc"/>
    <xsd:import namespace="ba5b49d0-d563-40a1-b879-461d939a825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GenerationTime" minOccurs="0"/>
                <xsd:element ref="ns2:MediaServiceEventHashCode" minOccurs="0"/>
                <xsd:element ref="ns2:MediaServiceSearchPropertie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f5957c-7da5-4c27-85eb-7459e8edad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5a77ea5-3d14-4585-9531-26d6f492a40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5b49d0-d563-40a1-b879-461d939a825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0f6b529-abd7-4f81-a91f-ff814f3e28ec}" ma:internalName="TaxCatchAll" ma:showField="CatchAllData" ma:web="ba5b49d0-d563-40a1-b879-461d939a82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7f5957c-7da5-4c27-85eb-7459e8edadbc">
      <Terms xmlns="http://schemas.microsoft.com/office/infopath/2007/PartnerControls"/>
    </lcf76f155ced4ddcb4097134ff3c332f>
    <TaxCatchAll xmlns="ba5b49d0-d563-40a1-b879-461d939a825e" xsi:nil="true"/>
  </documentManagement>
</p:properties>
</file>

<file path=customXml/item3.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2 5 7 7 9 c f 7 - d 8 3 a - 4 8 d 0 - 9 7 5 3 - 0 7 1 7 4 a f 3 6 d c c " > < 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V A S U R B V H h e 7 b 1 n c 1 x Z m t / 5 u y a 9 h f e G A A m A 3 l R 1 V 3 V V d 0 9 P 7 8 Z G j F Y R u 7 F S r G K l 1 U h v t J J 2 v s R 8 q N 2 R Z j S j 7 p 6 e L k c W v S c A w n t k A k h / z T n 7 4 p q 8 a e B Y L B J k 7 R 8 8 x H W Z y L z n / O 9 j z v M 8 R / l / v / p e 8 h O D q k e I Z C 9 T q w k s y 0 I I g Z T S b x 6 C 2 0 F c G z R I q k X 2 9 w / o 7 + 9 r P g 3 A Z k H l 0 X q 4 + f C h U B R Q A O H + y X R U c K n P x L A V O u O C r 1 5 H K J t K 8 8 t Q F e c 1 n w w b Z O O C b x Y i W A J q l n O t A l w Z M O l L 2 c 0 v B W C r q N G d s F F b 3 x p F q R / c 2 N j A s m x 2 d n Z Q V Z V Y 1 y T L l S 5 0 D W 7 2 5 C i X C o y M D G M Y J s l 0 m j 8 9 n q V Q q j S 8 3 0 8 B y k + N U F o o g Z a c x j A s b N t u I J J H o M O I J K W k L y W 4 O m C w s r J K f 3 8 f u q 4 3 X H N Q V V j a 0 9 k 4 0 P x j q g K x k C S s S 6 I h S d V U 6 I g J N B U s o 0 w 1 t 8 z U 1 C R V S + H 1 r s 5 W s f 5 a R Y H O m C B X U W n 3 s R T A O 9 w R F 1 g C C l X V P 6 8 q z v n B t M 1 4 p 0 U s 1 O Z N j o G i K A g J + f w e q y v L x G I x z p + f Z L + q 8 W g j T L V q 0 p c y S V v L p F I p N E 2 l p 6 + P u 6 9 W O S i V / c / 3 U 4 D y N z 8 h Q i W 6 p 6 i a C U y z l U w c Q y Q P V w d M N L v A f i 3 E Z F 8 I I W F t X y d f U a l Z s F 9 1 B n 5 E l 4 x 3 2 n T E b O J h 2 V Y C A O R y O T R N J 5 N J A / D 9 c p h 8 p U 6 I t w l d h V h Y 0 J s U L O c 1 M j H J + W 6 T R N j 5 f n s V F V t A Q i s j h C A a j a K q z m e R Q L G m k t 9 c J B q N s r + / R y q V Y t 0 c I l + L E N U l 0 z 0 1 Q q J A J p 3 E s i z C 0 R j F m u D e y 9 d N n + T j x U + G U P G e a 1 R r G p Z 1 c j K 1 O + Z B U 2 E k a 7 G Y 0 5 G u J J E S u h O C a 4 O G r 8 I d h 9 c L C w z 0 9 x O N R h E S f j c b b S u J T g t F g Y l O k 8 6 4 5 P 5 a C N M + / N N 4 a i O A a V T J F m 8 z P D S A r u v U a j U M w y A W i 7 G + v k E 0 G q F Q L H P l 1 h d k Y 4 K t 7 R 0 e 5 Y d A U V G A 3 1 y o E d I U F E X B M E 0 S 8 T j L u w e 8 W F x v / r M f J Z S / + e r u W + i + s w t V C x H v u U K p V L e X h B A Q I E w 7 4 r Q 7 F s S V A Z P + l E 3 V V A j r k m q 1 x v z c L J c v X 2 q w P Y 7 C 4 y d P G R k Z J p N 2 p N M 3 i 2 G q p o o l p K v M / f h Q F e g N 7 T A / P 0 d 8 + D M A J t J 5 z v V F G 7 6 H Y R g U C g W 6 u r o Q Q r C x s c n A Q D + q q m J J u L 8 S Z r / q q K q / m q g R 0 S W a 5 j z A o t E o Z U P w / Y v X G J Z z 7 z 9 W O I + V j 7 Q p m k 6 k 8 w r F o u 1 L p i C Z g h L K Q 7 t j z b j Q Y 9 H v G v n R k K P O h X S N a D R y Y j I B p J J J t j e 3 / P 3 P x g y u d m 3 T I V d J R S Q D a Z t k R H K S t 1 Q U R 6 V T F I c k h 6 H 5 v Y S E D a P b J x N A x Q p x 9 + 7 9 h u v C 4 T B 7 e / s A q K r K 4 O A A e 3 t 7 H B w U 0 B X 4 d M T g 1 l C N b M z m j 7 M q z 5 + / Y H d 3 F y k l l m W B b T D V m 0 L X 1 Z Z + + p i a 8 l + + / n g l V L j z J r W a j W 0 7 7 Y e o e I o C y b D g 2 q D Z 1 r C v 1 W o s L S 5 x / s L 5 U 5 F q b W 2 N S r n C x O Q E u 7 u 7 7 O 7 m G D 8 3 T i R c 9 x D a E h 6 u h d k t t b e t J r s s B j I 2 U V 1 i 2 A q 5 s s r r X Y 2 S 0 f 7 6 o y C F I F V 7 Q T Z i M D M z D c D + / g E b m 5 u k U k k G + v v 9 7 2 f b N k t L S 0 x M T D S 8 h 5 A g p Y K u O d d U q 1 X S 6 T T l c p m N z W 1 W S h + v l P p I C a U Q 7 r x B r e Z I p q B b n D b E a d 5 v h q L A b y a r a G 3 G Z 7 V a 5 e X L W S z L Z G C g n 4 G B g e Z L j s W j R 0 + I x W L E 4 z E G B w 9 / / c t t n f U D H U s 4 9 p q H m T 6 T 4 U y r W 1 x K y Z 2 7 j 9 H 7 b n B Q C 2 H Z d Y / g U R i N r r K 3 8 Z q + v l 7 2 9 / f p 7 u 4 m F o v S 0 d H h X y O l c 1 + 2 t r b p 6 e l G U R y 7 K Q h v X 1 E U y u U y q V S K j Y 1 N + v v 7 + M f H 8 2 / F V j x r U P 7 L 1 / c + q q + l a C H C 2 c t U q 2 + H T K o C f 3 Y I m V 6 / f k 0 q n a a 7 q 6 v 5 1 K n w + v U C O z s 7 z M z M k E o l m 0 + 3 R c V U e L W t s 1 d R u T 5 o k I m 1 f g 8 p J f f u 3 e f 6 9 W t o m m P f V E y F 1 X 2 N n Z L G a N a i P 2 2 T K 2 t s F V Q K N Q X L s u i W 8 2 y t r / D L X 3 7 J 5 u Y W p m m S z + f p 6 + s l n c 4 Q i 0 U b / s 7 6 + g b Z b I Z Y L O a T y C O c o i i Y Q i G s O Q + f a D T K / L x z 3 1 7 n K h + d T f V R 2 V C K q h H p a E + m I K k 8 S H m 8 f f L z 0 V o L m a S U L C + v Y B g m X Z 2 d j S f f A K G Q z u j Y 6 I n J B M 6 8 1 r V B k 1 9 P 1 t q S y Y d s n K C N h S T n u y 0 + H 6 s x m H E m d L s T N p f 6 T T 4 b M / h y U q B h E 4 v G k E A y m a B a r X L x 4 g y 9 v b 2 O a r u 0 T K 1 W 8 9 / T c 0 5 4 N h P U b T U p J b r i 9 E M 0 G m V x c Y l y u U x X Z y e X B j v Q t Y / L p m r z 3 P 1 w E e 2 6 S q X i 2 E v N Z G p G X W I 1 n 6 k j H p Y k I / U L b N u m V C r x 6 t U c A w P 9 T E 9 P t a g 5 b 4 K u r i 7 2 X Y P / b U J R F D q 7 O n x n w n F 4 v h U C Y H x 8 j H L V i X J Q F I V a r U a 1 W k V R F L L Z D K O j I 5 i m y f b 2 j v / a S C R C Z 2 c n 6 + v r h 9 5 v K S U j I 8 P M z E w T C u l 0 d G Q Z z 5 4 8 m u R D w E d D q E j H R S o V 0 d Y B 0 Y z D j g e h K D D Z b S G l Z G 9 v j x c v X r K 9 v Y 1 t C 6 a m z r d E S P w Q e I b 7 j 4 F s N k u p V G w + 3 B b D G Z v 5 X R 1 d 1 + m b u M X D B 4 9 4 / u I l M z P T p F K p h m u T y S T d 3 V 0 s L C x i 2 4 7 9 p i g K 0 W i U W q 1 2 6 D 1 W F A X D M P z p i 6 H B A a 6 M t g / f + h C h / N d v P n w b K t o x 2 T Y C g j b k a d 7 3 o L g T s w B R X f L Z u I G G z d r a O j 0 9 3 U Q i k e a X v D V s b + 9 Q r p Q Z G x 1 t P v W D U a v V W F l Z Z X K y 0 R N 3 G L y Q q a 2 i x s V + g 9 A J H r m b m 1 t E I h E i k Q h P n z 4 l m u w k p 4 5 z a 0 w h 2 X T b P I l e L p d J J p M o i k q t V m V j r 8 T S z k H j x R 8 g P n g F V o 9 m q V l J L K t V M j W T p 3 n f g x L Y P t d p 8 c W 5 G r o i 2 N 7 e o a O j 4 0 c l E 8 B u L k c 4 5 K h b b x u 6 r l M q l Q 7 9 7 s 3 o T 9 s o i m S 7 p P L H u S g l I 3 h 3 2 q O v r 5 d E I k 6 p V C S d T h E J a V T t M F 8 v R M i V G 1 / v f Y 5 I J E I u l w M k 4 X C Y h C Z I R f S W / v 3 Q 2 o f t l F B V R H i s Q T I 1 d 9 x h + 7 G Q J O X a R x L o k s t M h F 6 S U T Z B C g z D Y G 1 t n d 3 d n Z b X v k 2 Y p s n B / g H d 3 d 3 N p 9 4 K F E X B s h r v z X H o S w k i m k R I + G 4 p g t n q k W 9 B K B S i u 7 u b C x c u M D E + x F R i A a T F 3 e V w i 5 0 q p R N F k U 6 n q V Q c 2 y w W i z E 9 3 E M 4 p L X 2 8 w f U T i D Q z y 7 C 2 a u Y Z l 0 y E T B + g 2 j e x 3 U f F 2 o K A I m w 5 M Z U D x P n R u l 0 5 1 q c D k + h q i p / + t N X l E q l p n d 4 O w i F Q g w P D 7 K 0 t N T 2 c / 5 Q K I p C J B I + 9 X v / c q K G r o I t 4 A 9 z T p z h S a G q K m M j g 1 w a k E j g H 1 5 F K B u N 1 0 g p U V W V t b V V x + 6 1 b I x a l Y m O R p f 8 h w b t / / w P / + m v m w 9 + C I h 1 X a R S c Q x 6 j 0 Q n J V M Q Q x m b G 0 M G t V q V h c U l t r e 3 2 d n J Y R g G A w P 9 d H Z 2 0 t n Z y Y s X L y k W i 2 Q y G T 8 C + 2 0 h E o m y s 7 3 N + s Y m t m 2 7 t o V D 9 h 8 K R V H Y 3 9 8 n E o k S i Z z O o 9 a T t F n Z c 5 w v a w c a o x 0 2 p / l U q Y g k E R Z s F j S W 9 3 R H K 4 g 2 9 k d H R w f L y y s I K Q C F d D p F T J P k y m b D d R 8 K l L / 9 9 s H R I + 4 M Q o t m s f U R D M P 0 v U V v Q q a O m O C T E e f R O T s 7 x / j 4 W I v 3 T g j B k y d P 6 e z s x L Z t 8 v k 8 5 8 6 N k 0 q l 3 t q g 9 2 B Z F q 9 m 5 + j u 7 i K b y a D r e s P f M A w D X d d P T e i V l R W i 0 R j d 3 a e f g F 4 / 0 H i y 4 d h 3 w 1 m b m d 7 T D / T N o s a j N e c 9 e p K C G 0 M m N Q s i 7 q 0 W Q l C t V k k k E g g h q N V q z G 7 s U T Q + v E l f 7 d / + X / / 5 r 5 v 1 w L P e 1 M R U g 6 r X j j j t j j X j y 4 k a i r u 9 s 5 u j p 6 f V j j k 4 O E A I w e j o C J l M h s 7 O D m Z n 5 9 j b 3 6 e j I 3 v q w X 0 Y h B C s r a + z t r J G N p t h Z W W N 5 a V l E o k 4 x V K J e / f u Y w u b h Y V F V F U h F o u j H h U F G 4 B t 2 5 i m Q T J 5 / M S x J W A 5 r 1 O z F J I R x 8 7 c L G i Y t k K h q m L a C t 2 J 0 w 3 0 Z F i y d q A R D U n 2 K i q v c z r L e z p V U 6 U n K V B V F U V R E E K 4 E R 0 K 0 Z D K T q n W 0 v d n v W n / 9 j / 8 5 w 9 K 5 U v 2 X a N c b i X T S Q j k Q Q F + e a 5 G y E 2 M 3 d / f p 7 O j g 1 A b T 5 t l W a i q S j w e B 9 e 2 6 u 3 t B S l 5 9 W q W W C x K J H K 6 K P M g v F S I l y 9 f M j g w w N T 0 F K l U i t 7 e H v r 6 e t n Y 2 M S 2 b K S E i x d n G B j o x 7 Z t Z m d n M U 2 b c D i M p m l H / n 0 p J V t b 2 3 R 1 d R 5 5 n Y d 4 W K K o 0 p c g U d 1 m s + D s H F R V V v c 1 x j p O 4 K k I Y D h j o c k a 2 + W I G 0 W h s L e 9 S j q d I h F 2 n B S z s 7 O u c 0 a S z + U Y 6 + t g 8 + D H m Z / 7 s f B B E S q e 6 a F U d b J B j 4 q E a N 5 v x p U B k 2 z M e c r u 7 u Y o F s t 0 d b U P I c r l 8 k S j s Q b X u a I o J B I J O j s 7 W F 1 d J Z / f I 5 1 O + f F y J 4 E 3 y J 8 / e 0 6 2 I 8 P 5 8 5 P E Y r G G a 1 R V p a M j S z g c p l q r 0 d G R 9 S d P + / r 6 C I V 0 l p e X 2 d n Z I R a L E w 6 3 P h B w S f v s 6 X N s 2 2 Z 3 N 8 f u 7 i 4 7 O 7 v s b G + T y + X Y P z i g V C p j G A Y v 1 i 0 s W x D T L B A W 2 9 v b R D R B P B Y h X 3 G + n y 0 U N E W S P S r k q Q m K o m B V i + z u V 7 D V B K o C E + k c T 7 c T b J e j 6 J o E 0 7 F R c a W q E A L T t K n Z J / 8 7 7 x v K 3 3 3 3 8 I P 5 t F r m K t W q 1 U A o m g h 0 H J m 6 E o K b Q 4 7 d V C y V q J T L 9 P T 0 N F / m 4 9 W r W c 6 d G 2 + x r T w 4 x N h i / v U C V 6 9 c P p F a V S q V e P l y l q 6 u T o a G B o 8 l o h C C h w 8 f M z 4 + S j a b b T g n p a R a q 7 G 1 u U W x W G R k d I R U k 1 P D s i y + + e Y 7 P v v s Z + A O 7 m b p b t t O / G O 1 W s U w D I d w O 7 s M D w + h a R q G Y b B 3 U C E f n i a a 6 k Z V 4 L c X T i 8 9 C o U i V V s l m U i A V W Z t M 8 e C e R 6 A k C y T i E c Z y V p 0 R g 0 2 N z f J Z D I 8 3 S g 0 v 8 2 Z x Q d D q H B m n I q R w D Q d R 8 S b S C d N h T 8 / X x 8 E m 5 u b Z L P Z I y d u H z 9 + z O X L l 4 9 V l S q V C n f u 3 O X G z e u k D i G V l J L 1 j Q 3 W V t e 5 d u 0 K 4 U D O 0 3 E 4 O D j g u + / u 8 N v f / u Z Q u 8 2 y L B a X l t j Z 2 W V m Z t r P B B Z C 8 M 0 3 3 / K L X 3 x + 7 P c 4 D o / X w 2 w U n L / / y Y h B h y v p T 4 N 8 P s / B w Q G d n Z 2 U y 2 X 0 1 C C P 1 k L Y 0 k k B k V I S U i 0 + G y 5 i m i b F m s 1 S / s O o o P R B T O y q e g h T p F p c 5 M 1 o d 8 y H l I y p z 1 l Z W W F x a Y n v b n / P 1 t Z 2 W 7 s p C N N w 4 v m O Q y w W 4 9 a t m z x 7 + o z 7 D x 6 w G c j E l V J S q 9 W 4 e / c + u q 7 z 6 a e 3 T k U m A C E l k U j 4 U D L h R k V M T k x w 6 + Y N 9 v f 2 u H 3 7 D o u L S 3 x 3 + w 6 a p j u Z s z 8 Q E 1 1 1 L 9 + z j V D L p O 1 J 0 N H R w f D w M J V K l f X 1 D b o T g j + / U G t I 3 D R t l W d b E U q l E j F d I a S 7 R T r O e F P + 7 v b Z l 1 D h 9 D n K t d i h N S G a t 9 s h t 7 n E l 9 M R u j N R p J t K c B x s 2 + b Z s + e n q h M h h K B Y L P H k y R O m p i 5 w c F C g X K 6 g q g o j I 8 M n U g n b o V A o k M v l G B s b a z 5 1 K E z T Z H l p m V K p z M V L M 4 e q r a f F 7 2 c j W M K 5 H 9 m Y Y K L L o j N + e k m F e 7 / y + T 2 6 u 7 u w B f x + N g q K q 4 Z a F p H i M 6 5 M d F I T K i s H 9 Z S R s 4 r D H 3 d n B K o e w b C d + Y n D 7 K a T I N M 1 Q D z l x O W d h E y 4 f 0 N K e W I y 4 T o S Y r E o X V 1 d L K + s Y N k W M z N T X L w 4 8 8 Z k w h 1 4 x 0 n T Z o R C I f o H B h B S v j U y A f S n 6 + T Z q 6 j c X w 2 f K O a v H V R V Z X t 7 G 1 y V P K z j S z 1 F U a j E p w i H I 8 R 0 h b D 2 Z n / j X e L M B 8 f G O q e w r M M n b z k h u T Q 9 R D Z 6 u q e o E O J I + + o w h E I h p q Y u E I v G 6 O n u P t b p c B J I N / 7 t t F B V B e l K 9 L e F m V 4 T V Q F P + x Q S 7 i y f T o U N w j A M v w / r I U 7 1 M f D 1 Y h R F g Z F 0 u G V 8 n L W m t h 4 6 W 6 1 U q r t Q P Z y E Q M 3 Q l O O z c 5 v x J l L B g 5 S S S q X y R o R s h 2 K x d K T 9 d B i 8 S d M 3 u W d H 4 d e T V d T q j k 9 W 0 1 Y O L S I T h G V Z G I Z B r V Z j d 3 e X F y 9 e + i n 1 V Z O W Q F x F A U u o G L a K b c u W 8 X H W 2 p l 2 S k S 7 L z Z E S r c b F O 2 O t U M i k H l 7 U g g h T k 1 C D 1 I 6 R R X e l J B B V K p V l p a W / c n l 0 0 B R F G z R + E D 6 o b B t m + d P n x A p P C W s 1 R n w c D 1 M 2 X D I a 5 q t I U o r K 6 v M z s 6 y 8 H q B h d c L z M + / Z n R 0 h A s X L g B O t V 1 N q f e T o i g o i o q i w J N N R 6 0 c S Z 3 t a P T j H y n v E d W q 1 q L q B Q l 0 U j I B p J u C M k + C c r l M u f x m 7 t p K p U I q m X w j N S 0 I w z D 4 / s 7 3 X L w 4 T S K R a D 5 9 L F R V x T C a Q r 1 / I P L 5 P P F 4 n J / / / B O u D N X v q y 3 g m 8 U I p i 3 4 w x / + y D / 9 6 W u + / f Y 2 s 6 9 m K R Q K b G 1 t c e H C B a a m p 5 i e m e b y 5 Y s N f b h f U R u j 2 v 2 n m U L J 0 H i 0 H k a R b + / B 8 G P g z N p Q 4 d T o s b b T S a E p N l 3 K O s s r K y w v r 5 z o v a S U x O N x d P 1 k h J D u 5 K h h O B O S y 0 v L f n m t N 4 W U k m f P X n D x 4 k x D C a + T Y n t 7 h 7 / / b / 8 d o 9 Y q L X 4 I h B B 0 d 3 e h a R p d c U E 8 4 O 4 W E v 7 r Q 4 v e 3 h 6 + / O J z r l 6 9 z O D Q I G t r 6 2 S y m Y Y H T D y e 8 O t S S G C 7 V C e U 9 J x B g S Z R s C V 0 R W g Z L 2 e l K f / t z u P j R 9 d 7 g J a + T L l s + v Z T O 1 J J K Y m H J R V D O b L e X L z w g H O D a d L p D I u L i y Q S c c b G x i g W i + i 6 7 k c G C C E Q 0 g n Q 1 F S N S q V C T 0 9 P 2 y h t w z D I 5 / P U a g Y H B w f Y t s C 2 L T R N J 5 V K 0 t n Z 0 R L V c F q s r 6 + z t 7 / P z P T 0 q Y l p 2 z Z P n j z 1 g 3 p P + / q j c P v 2 H a 5 d u + r b h 7 t l l X s r Y b + M g L B t f n 2 u 0 O J N 9 U k S g B C C l b U t 8 s o o 2 6 4 N F r T 5 p L C x b Q v L M r E t E 0 W Y f D p c Y t U N g z p r U P 7 + + 7 N H K D W U w F B H W 2 p E B A n l b X u d e B Q + H y m Q j D m 2 j G 3 b 3 L / / g K m p C y w s L G K Z F t m O D O F w x I / H U 1 X V b 8 2 B p 4 Z h 8 O L F S 2 q 1 G o O D A 8 z O v W Z m Z o p M O k 0 4 H G 4 Z M G + K W s 3 g m 2 + / 5 c s v f v F G L u / 9 / Q M e P n z I F 1 / 8 4 g e r n c 2 4 / d 0 d b n 1 y k 5 2 d X T o 7 O 1 A U h R c 7 E T Y L z m o k m g o / G 6 k 1 V I w 6 D B s H G v e X B H q 4 0 X m j K I 5 3 U u L M R 9 k u o W z b 5 L P h I j u G i i H f z r 1 + m 9 D + 8 j / + 3 2 c u O D a c m a R a d V S o d m Q 6 K R T F q Z E w H N C W V F U l G o 3 w 8 O E j b t 2 6 6 S c R p t M p I p E I o V A I X d d 9 Y g U J s r C w w H f f 3 e H 8 + f N c u H C e d D r t 1 l F I t + R H S S k p F A o s L i 7 x 6 u U s l u 0 U z W 9 H D u / 7 G a a J 4 u 6 v r 2 + w 8 H q B y c m J t q 8 5 C r Z t 8 / T Z c 8 b P j Z N u q l b 0 N q C q C n f u 3 K V Q O G B 1 b Z 3 7 9 x 5 g F d c 5 1 w 0 F 2 Y E t F M q m y k D 6 6 I h 0 6 e Z b F c x D X O 7 u 7 Z S + h i K Q Q l A 1 J P 1 x k 5 J 4 u w + K t 4 E z K K E U Z P w S t Z q J Z T l h P 8 2 E O g 2 5 b g w a d C U c t d E j i G 3 b 3 L l z 1 w 8 W P Q 7 b W 9 s c F A 7 Y y + 9 z 8 9 a N B v d 1 p V L h 9 7 / / R 6 5 d u 8 r g 4 I B P q u X l F Y r F I k N D g 4 R C I Q 4 O C q y s r C K l o H B Q 4 M L U B b q 6 O i m V S s z P L 1 C p l L F M m 0 w 2 T S g U J p V K k k o l W V h Y Z P L 8 p J + a f x J Y l s W 3 3 3 7 H 1 a t X S L v x f G 8 T K y s r x O N x w p E I M V e t k 1 K y u b l F t V Y l H 5 q h Z C j 8 8 l x r k V B c 5 8 X d 1 T A H 7 l p a R 0 F K g b C d g G h H Q l k o w u D W Q J E t + + 1 M S b x N a H / 5 H / / q r 5 s N q / f a 1 D A W 2 Q b p 9 E O w s 7 n E y u x D f v / 7 f 8 Q w D N 9 R s L C w y O D g w L H q U L F Y d J P 6 N C 5 d u t h y f S g U I p P N 8 O r V L E b N I B 6 P I 6 V k e W W F y c k J k s k k o V C I R C J B J B K m v 7 + P 8 f E x K t U K 8 / O v O d g / 4 P K V S 5 y b m G B y c o K u r m 4 6 O r L 0 9 P Q Q i 8 X 4 7 r v b l M s V e n t 7 T i y p S s U S C 4 t L p F L J t 0 4 o I Q S P H z 9 l f H y c e C z W o B 6 n 0 y k K h Q J R e 5 d d q 5 u Y L h u 8 q y V D 4 f V u i M c b I S p m G 6 a 1 h f t A F d J J k x c C y x a k I h Z S 1 T h r M 1 P K P 9 x 9 8 s N G 7 F u G n r l E s d i Y o t F M q u b 9 w 6 B g 0 1 G + T z w a I h T S M A y T 7 u 5 u I p E w G x u b T q p 5 N k u l U k F K 2 R I a J K X k 5 a t X 9 P X 2 H u t g K J V K 3 L 7 9 P Y l 4 n G g s R i a T Y v Q t 1 N l b W V n j 6 d O n T E 9 P M T Z 2 s v e T U l I s F n l w / y G f / + K z E x O x G Z V K h V w u T z g c 9 r O Z 5 + b m M Q y T q a n z L Q 8 X D y s r q 5 Q N y V Y t y 7 V z a S w B s 9 s 6 B 7 W T k q g O R 0 I 5 j g n H j r K w L Y O u W J W x T J W c c v q p h B 8 T p / + G P z I M w 3 k K H k a a w 4 6 3 h R S Y t T L r G + u A y l 5 + j 5 W V F Z a W V 9 j Y 3 O D u 3 f v 8 3 d / 9 A / f u P W B + v n H Z S i E E / / S n r 0 D i J 7 0 d B t M 0 n f A Z J J e u X K J W q x 7 7 m p O g X C 5 j 2 y a Z T B r D M E / 8 3 R V F I Z l M U i q X y e f z z a d P j P n 5 1 + T z e V 6 8 e A l e y b N C g e n p C y i q x u 2 l 9 r b P 4 O A A S 3 M v S K p l v l s K c 3 c l / E Z k A t f Q 8 l F f F n K z o J 3 4 f r x L a P / u P / 7 V m X F K a K E o h s g 0 u M p / C K S U l L R + r l 6 c I K p b F A o H 3 L x 5 g 7 6 + X n p 7 e + n v 7 2 N m Z o q + v j 7 m 5 u b 9 R a i l O 6 e U z + e 5 c s X J h b I s J 3 v 1 4 O C A t b U 1 9 v f 2 e f T 4 C f n c H k + f P i O b z T I 5 O U k i E c c w L R Q U k s k 3 f 3 o K I X j 0 6 D G d n Z 1 0 9 / R Q r V b o 7 D x Z C r t p m i y 8 X s Q w D f L 5 f Y a G B v 3 X e f f 0 J O 8 T j U b d Y p Q w N D R I q V R y p X w X i g K 9 S b u t j V Q s F o n G E u z L T q p 2 C O W E I V O j H T b 7 g Q W 3 A f B t a M c h 4 f 0 W 0 q Y j a l K R I b Q z F D R 7 p i Z 2 l e h I C 5 F + C K k U V S c U i Z H f L 1 I q l b h x 4 7 r v U I j F Y m T c y k K h k E 4 i H q d S q V A o F H n + / C V r a + v 0 9 f X 5 A 2 9 7 a 5 v C Q Y F w O E w 2 m 6 W r u 4 t Y L E Y 0 E u H C h f M M D A y Q S D i h Q b V a j U q l 3 P B Z T o t S q U S p W P L D j d b X N 9 n f P 7 5 U s R C C 1 d V V b G H z y S e 3 S K W S b G x s g u t K f / L 0 K Y 8 f P 2 k I R f L u s W l a l E o l h H B q x M / P z d P f 3 0 8 6 k 2 Z j Y 4 O H j 5 4 Q C 8 Q m e j U 5 m q H r O p u b 6 x Q W v i K q t U Z p K O 4 q i x 1 x w W e j 9 Z S M p X y b N 3 R u f 3 D D 3 V R 4 v h k i Z p V a x t H 7 b G d K Q g m 9 F 9 N q b z f x A 8 i 1 V w t x c S x N N O x 0 m G E Y W J b l 2 x a q q i K k 4 O G D R + z m d g m F d C z L Z H N r m 0 w m T a V S Y X V 1 n U Q y w e D g A M l k k m g 0 i q a p F I t F K p U K y W S C S C S C Y R i 8 n l / g / P n J N 7 Z d b N v m + f M X D A 0 P 8 c 0 3 3 w K Q T i f R d a 2 l a H 8 Q 0 l 1 m J 7 e b Y 3 p m i k g k Q j K Z 5 N 7 d B x Q K R V Z W V j k 3 P k 6 t V n N J Y 7 G w u E S 5 V G Y 3 l 2 N h Y Y H d X I 6 9 X J 5 C s U g 4 E m Z k Z J j O j g 7 H M a O p X L h w / t g g 3 V A o R G 9 v D 6 V S k e s X u i m Z O r Z Q u N x v M t 5 p c a H H 4 l y X x V D G J q L D 6 r 6 G 7 e Z X t Y O U 7 p j w b G o 3 N t G y B M M p A 1 M / W T r O u 4 D 2 7 / 7 T X 5 2 Z M m K 2 1 o N l v R 1 1 L w h V V V n Z 0 + l N C h Z f v + L R o 8 d s 7 + w 0 e M 4 K h Q L n J s 4 x N X W B v r 4 + e n t 7 C Y d D v H o 1 S z q d Z n N z y 1 F z e n v 9 9 9 3 d z b G + s c H g Q D + W b R O P x 3 n 2 7 D k T E + e O H P j H I Z / P U y g U G B 0 d w b I s + v r 6 G B s b a + u x s y y L Y r H I 5 u Y W z 5 4 9 p 1 w u c + P m 9 Y a g 3 N e v X / P z z 3 / O 6 M g w i U S c b D b D 7 m 6 O U q m M a d R Y W 9 9 E S s m 5 c + O M j 4 0 R i z t F a f r 7 n X W f V F W l X C 6 T y + U Z H z 9 Z g q O m a c T j M Y q F A y 4 M x h n r t E l E n E p K q h t N 5 G E x p 2 O 3 m 6 R 1 x 4 B D q K D K 5 4 4 R Y T O U M T D 0 W M t Y e l 9 N + / f / 6 a / + u s 3 x d 9 7 C i Q F q Z g j b r k u o t 6 X 6 e T A K 6 0 R U g 1 u 3 b h K N R C i V n G U q A T Y 2 N i g W i g 0 1 x p P J J I O D g y S T S S K R C O V K h d 6 e H g x b Q V O d C c 5 S s U Q i k W B 3 N 0 c 6 n a J S q T T M R 5 0 W l W q V u b l 5 e n t 7 6 e j o o K M j y 9 r a G n t 7 e 2 1 t q N 3 d X R 4 + f M z Q 0 C D D w 0 O M j I w 0 S E Y h B L l 8 n r X V d b q 7 u w i F Q q h u N a X O z g 5 6 e 3 s Z H x t l Y K C f m O s G j 0 Q i / r b 3 H r q u U 6 l W 6 e u r P 1 C O Q z Q a Z X 1 9 k 3 A 4 R C h 0 e B T J 6 5 y O a E M o l 0 7 t b S i X U N s F S E R V Q q G z k T h x Z m w o 0 w I h W o n 0 N l E V Y S Y m z j l h L c D T p 8 9 4 9 W o W K S W 5 / B 6 F Y m v 9 c m 9 Q J R J x / 4 k Z 1 i T z u z o 1 E c Y 0 L W e e K R 7 H N E 2 S y c S x K t F R 2 N 3 Z p b + / j 4 G B f n B X q Z i e n i a f 3 2 P / 4 I B i s U i 5 X G b / 4 I C n z 5 6 z s r L K 9 M w U 3 d 3 d J B K J l m D e U C j E J 5 / c I p v N 8 P X X 3 7 K 9 f f r F D + Z f L / D w 4 S M y m V Y J e R w m J s + x s 7 P L w 4 c P y e f z D b a b B 2 c u q R 0 O G w v 1 Y 5 a A l F p p G U / v q 7 1 5 z 7 9 l K K H s I T f v 7 U F E e v y n p K a q 9 P f 3 U y 5 X W F t b Y 2 t r i 8 u X L z a / x M f z 5 y 8 Y H h 4 C o G w q J M O S l x v S D 1 e K R C J U K 1 W q 1 d P X P T A t J 2 b R M A z m 5 + d b J J G q q i g o f P 3 1 N z x + / I T 7 9 x + y u r J G Z 0 e W 6 e k p + v u O X r B M 1 3 W m p 6 f 4 4 o v P e f H y J d X A c p 7 H Q U r J X j 5 P O p 2 m L 6 D u n h S a q n L u 3 D h X r l x m f 3 + f R 4 8 e s 7 W 1 R a F Q d 7 D Y r R y r Q z r / O U M j O D 4 k o D h h T h X r 2 I i L d 4 U z Q y j b d j r v x y R V 2 V B 4 u R 2 i Z h g s L C w x N X U e y 7 Z 4 / P g p N 6 5 d a y k 0 6 c F L l v P U w 1 h I 0 p 2 s R 3 J 4 k r V c K Z 8 6 o X B 7 e 5 t v v / m O x 4 + f s L O z w 7 l z 4 y 1 Z v u V y m Z p R 4 8 s v f s F n n / 2 c L 7 7 4 n E u X Z u j v 7 y c e j x + q S g W h u A U y L 1 + 6 y L f f f E e h c L J a d 4 q i c O v W T U Z G h n n 5 8 t U b 5 1 b p u s 7 4 + D i X L l 1 E 1 z W W l 1 c B W t 3 k D X C + l 0 c m T w X 0 I N 2 W K 9 h v n A j 6 t n E m F M 9 Q L I 1 t v 3 2 b q R l C w u q e x l e P t r h 6 9 T L h c J h L F 2 e 4 e H E a 9 Z B Z f 4 B S q c z o 6 I i v y i n A y + 0 Q k b B K t W Z S r V Y c N a x Q x t Q y 7 J Y 0 K q b S / D Y N E E K w u L T E 4 u I S V 6 5 c I p F I M D + / w M D A Q M N 1 p m n y a n a O m Z l p 0 u n 0 i c h z F D o 6 O v j k k 5 t 8 d / v O i c n h 2 F w d j I 6 O 8 O r V H L a 7 B O i b I B Q K s b O b 4 9 I l R x t Y y B 1 + 3 8 G 9 2 R 5 c B j U P j Y q p U K u Z L e P q f b Q z U V P C t h 3 7 C Z d I P w a Z P N g S 7 O Q 4 r / e c M C N P K s 3 N z R + x B p R s m Q O a 7 j G Z 7 I + R 6 R l m M R / i Z W G A V T n D S i n L k w 2 d b x f D P N t s L 6 2 k l C w u L r G X 3 + P 6 9 e v u p P A E X 3 z x e Y u r P Z f L Y Z k m X V 2 t O V l v i m Q y y c D A A E + e P K V y i r V 9 s 9 k s y W S C 3 d 3 d 5 l M n x t b W N l N u y j t A v n w M o T x V z x 0 S n p z y j w P 7 V Q V h O U v t v O 9 2 J p w S U j a W B m 7 G Y c f f G I r O y r 7 G 4 3 V n w I + O j n L j x j U W F 5 e b r w S X d N v b 2 w 2 F I g + q K q 9 2 Q q z Z 4 1 Q i Y 8 Q z v U T j S Q w Z w r A V L K G w u q + x V 2 m v 0 u z t 7 T E x c Y 5 Q y C G Q o i h t n R m a r m M Y R 2 f c V i o V D g 4 O j r x P l U q F Y r H I 1 t Y W 9 + 7 f J 5 N J E 4 1 G e f T w 8 Z G v a 0 Z v b w 8 L C 4 s n V h m D M A w n e D i I I + 0 n l 0 B S e k T y P q d L K 0 9 a S d j d M 1 r G 1 f t o r T 3 4 H h B K D p y q U 9 8 W N g o a X y 1 E s I U z b 6 L r G t J 1 O i z k d O 6 t h v h 6 I c z v n 5 n k j Q Q 7 Z Z 3 v l s L 8 / c s o t 5 f D F N z 4 t K P U s I c u a T 3 Y E n b y B U y h H m q z B Z H N Z t F 1 7 V A 1 q 1 Q q 8 e j R Y 5 4 9 e 8 7 v f v c H 9 v f 3 / X L V h m H w 4 M F D 5 u d f 8 + D B Q x 4 + f M S r l 7 O c G x 9 H Q W F 7 e 4 f d X J 6 9 v X 1 q h k G l U j 2 S K M 5 k s C A c i f B q d r 6 t x 6 4 d h O v m t i y r I R x r / c C 5 3 8 f D k V A e e e o 2 l X N A S j D L h 2 k X 7 x b K 7 x 4 8 P 9 l 3 + j E R n 6 Z U e j v 5 T 2 + C i C 5 J C i c 8 p 6 j 2 U b M a C e J 9 n n Y S 5 D i E N I i H J O m o Y L + q c F B V s S 2 L k G r y 6 w s K x 5 W s k F I y N z e P p m m c O z f u H 7 d t G 0 3 T + O q r r x k f H 6 e / v 4 9 S q c S L l 6 + w T N N 3 b E Q i E T o 7 O 8 l k 6 h n F w e 9 R L p d 5 + v Q Z x W L J j W M U X L p 8 i c 4 O J x M X l x B S S l 9 F V F S V / T J 0 J l T 6 + n o Z H B z w 3 1 O 6 Z a e 9 + a 6 D g w I H h Q O 6 u 7 o w T b N h c v r b x Y i / L G s 7 1 C P N n W h z Y V s N U e e W Z W B b J p Z p E A 3 Z X L p 4 t L f z X U D 5 / R k g l B 2 d p l J 5 f 4 Q C s C w T p E Q P t Y + g f p t Q g E h I Y l g K v x h v r O n d D p V K h W f P n n P + / C S a p r G 4 u I R p m o T D Y d b X N / j 8 8 5 / 7 q p T t r q I h 3 Q D f S C T S Y p c 1 w 7 Z t b C H Q 3 A p J j x 8 / p a e n h 8 3 N D T K Z D L n d H K r u V K C a m Z 6 i s 7 O T + 8 u S s U y Z / d w O + f w e 0 9 M X 0 H W d 2 V e z V K s 1 y p U K 0 V i U 8 + c n y b a J v M + V V e 6 u H H 2 v h X C S C 4 V w S W W Z D q k s C 8 s 2 s U 3 T I Z V p g D S 5 e X 0 A 9 Q h t 4 V 1 A + f 2 D F 0 f 3 5 o 8 O B T N 8 g W r V a E g q f N e E e p d Q g F h Y U j Y U p n t N R r L t 1 b k g D g 4 O e P z 4 K R 0 d W T o 6 s i S T K c q V M q / d Z X S a b Z M f g l K p x N / + 7 d 9 z 6 9 Y N L M t i Y G A A T V M R Q j D / e o H L l y 6 y W d S Q U q E / Z Z H L 5 Z h 9 N c f 2 7 g 4 z 0 9 N M T k 6 w u L h I R 0 d H 2 z Q W I e F 3 s 9 E W b 1 0 Q U j q x e w 6 Z n H m 6 w y V U D W m b f H J j 6 M S r O v 5 Y O L 0 O 8 5 Y R 1 p W A s f n T g H T n x J C S 5 c 0 C t m 1 j m i b l c p l K p Y J p O t W e b N v G c n + n U i l G R 0 f Y 3 d 0 l m U y S T C Y I h 8 L o m k b 4 L V W n 9 R C N R o n F o g w N j 3 D + v J O S 4 h y L o S o K l U q F / p R g u + i U F O j q 6 u K z z 3 / O / / z P / o L J y U l M 0 6 R Q K L W N P Q S 4 v x o + k k w A S M d G 8 h + m 3 k P W b d I 1 p p x j j p f Y P q F N 9 2 P i v U s o V d W o q B M Y R r 1 k G E 1 S 6 W O T U B 5 s 2 y J d f k x E c d J G h B C k M 2 m E b b O 7 k y O Z S q H r K q C Q S i W p 1 W p o m s a 1 a 1 d R F I X H j 5 8 w M N D / V l 3 q u P f 7 m 2 9 v o 2 c n + N l M 4 7 r D B 4 U C + 3 v 7 j I w M Y 9 g K Y a 2 1 b 6 p u p d u p q b p 7 3 M P a v s b T Q 6 Y T P D g a i h e z 1 2 R D W X U p Z V k m t m m 4 k s r g 1 r V B w u G j 1 d s f G 2 d i Y p e P m D R B N K v 3 q q p x 4 8 o k V 6 5 c 5 s q V S w w M 9 H P j + j W u X 7 9 G L B 5 l b G y E k d E R r l 6 9 z N D Q I K q m M T D Q 7 8 Q i u k u K n s R T e F o U i i V W 9 z R m h u O U D a d m + Y N V h w S m 4 a j m u D G N h 6 P 1 3 O y O f i y Z P D S o / p 5 U C k g t 7 7 h 0 L q 5 L r e a x 9 Y 7 b e 5 / Y V U 9 Q V + 9 j Q X M 5 T s X Y 4 8 5 3 3 3 H n + 7 s 8 e v y U W C z m u u 9 1 h o c d e 2 B 7 c 5 u a Y Z D N Z r l x / Z q f P l K u V L B s m 3 B T P b s f i n K 5 z O 0 7 d / n t Z x d I J e P E w 5 J s T N C T d J I O V 1 Z W 6 e g 8 u g K T o i j Y T e v i r u x p L O R O K j 2 c 1 w Z J V S d R X f 3 z S e V t t x l f 7 7 q 9 9 4 l d G Q j b 9 2 5 K M 9 q l W X + I a P 4 e 4 V i K S 5 c v c u P 6 N X 7 + 8 0 / p 6 3 f c v q q q M j k 5 S S a T Y T e X Q 2 v j r r d M m 2 g 0 g n z L t b 6 X l 1 e 4 O D N F Z 4 e 7 n K i E i q n S n b S Z X 1 w h n c n 4 S 4 0 e B U + K 4 d Z / e L 5 1 c s n k k c a f f 3 L n m o J S y r u 2 k W y t 4 + t d t 9 a e O m O Q U h 4 7 m / 4 h I K J L L F t p O N a T V O j q 7 C Q e j x N 3 0 + m D 2 N j Y 4 P z 5 y b b J i r Z t 0 d X Z d a x L / D Q Q Q r C 2 s U N 3 V 6 d / 7 H V O 5 / 5 a i H + a j 3 D 3 1 Q G Z j s M X + A 7 C s p z o D i H h U d P k 9 u F w i e L t S Z w H h k s u h 1 M B Z 4 S v / h 3 + M H 7 X e O 8 2 l K 4 p J I / S W p o N j w 8 U N a t Z 4 Y O B z N H u 8 v 7 + f r a 3 d 1 h e X m k 4 L o S g W C z S 0 9 1 1 Z J T G a S G E p C K j G K Z F r V a j W j N 4 t W 5 R K N b c U m t g K Z G W 7 9 E M R V G w L O e 7 H V Y Z q R 3 a q X F B m 6 m B T F 5 a v J R + i n z z 2 H o f 7 b 1 L K E W B d O T w x Z S V 5 g M f G A 4 b 7 1 7 0 x F F I J p M M D Q 0 0 J A 1 a l s W j R 4 + d u u I B S f I 2 Y J o m a b 3 K 0 y d P + P t / + B 1 f f f U N a / M P W J u 7 x 8 b 8 A 4 z K A Y X t R a w 2 a z 8 F E Q q F 0 D S V h V 3 8 8 K y T w C d M E 4 k 8 0 i C d W u d S S k R A S j k k O / p e v i u 8 d x t K Q W G 0 4 + g n 9 Y e M g V T 7 7 1 Y 2 F f b b B M 5 a l s X c 3 D y 1 W g 3 T N N n f L z S E 9 S w u L a H r O t e u X a F o h V n d 0 9 6 a U + f F 3 D K R S I T h 4 W F 0 V e O T z 3 7 J 8 I V P G Z n + O Z O X f s Y / + x 8 / Q 9 M 0 v v 3 2 O 3 K 5 3 K G x f I q i k M z 2 8 W T l 8 A f l Y Z B 4 x V g c A j V I q z a S y i v c U r 8 J r W P s X b b 3 7 u U D S L i e J P 0 M 1 V d 7 W 1 g 7 a B + s p y j w c r t u / 0 g p 2 d j Y Y P b V H P P z r 7 l / / y F 3 7 9 5 j a W n Z n y A t l 8 s s L i x x 4 c J 5 d F 0 n G x X s V Z 0 V / n 4 o q t U a S 6 s 7 T E y c I 5 / P I a T A l j q R s I r q B g 4 n o i H G x 8 e 4 d e s m 6 2 s b v H j x k m q b 9 A 9 b w K I x T j h 6 y u g N 1 x b y J Z T 7 2 z W S f E n V T C 6 J c 6 x 5 b L 2 P 1 v q I f A 8 Q w u Z 6 f 5 m r / W + 2 W u C H C C m h Z K j + v I x t 2 z x 7 9 h x b 2 N y 4 c Y 2 x s R H G x 8 e 4 f H n G n 2 u S U p J M J Q m H 6 3 b J V M / p p U A 7 C G F j l b a 4 d / c e B w c F L l + + R E i X 3 B g y 6 E v Z f D Z m + D G H 8 X i c i 5 d m 6 O n p 5 v 7 9 h + z s N O Z H f b 0 Q A X c 5 z 5 M j I G Y 9 A g V q j L Q 2 r 2 i L d 5 1 4 q / b k m + K 9 O y W k 6 y Z G 2 n Q l G o s n 6 u p b 0 m X O K I R 0 I g e + W Y x g C 8 n U 1 A V M 0 6 S z s 5 P + / n 7 6 + v o Y G h r y V b 5 c L t c S s x c 6 c n L 1 5 I j H 4 3 T 3 9 n D r k 1 t c u H C e l d U 1 U h F J J i q 5 1 G e 2 / B 1 V V e n u 7 u b q 1 c t s b j p l y H D z x K p N 0 f q H o Z U k T Q 6 J I H k O / e 2 1 / 9 8 p A Y A t B L b 7 J F I U h U t 9 d Y P X O q L 4 4 c e E i g m / e 5 B n d m 6 x Z Z 0 p b 9 G E W q 3 G 5 u Y 2 g 2 4 1 p B 8 D 2 2 Y 3 h Z J T x u z m j e v + 8 e b 5 s y A i k Q h C C B Y W F r B t + / i U 9 h Y E 3 N / e b y H R 1 W b V z i V N o J S Y l M 6 K H N I l o n 5 E G Y N 3 B d V x C 7 y / H y E k 0 j Z R N S e J r j t h k Y 2 1 N 3 Y / V t h C Q Y n 3 o A z 8 k q G h Q V 6 8 e M n s 7 C x P n j 7 j z p 3 v 2 d r a 4 v 6 9 B w w N D Z I 9 x T p R p 0 V v Z 5 q n z 1 4 x M X G O W O x k 1 V h 1 X e f y 5 U v Y t u D x i 0 W 2 i 0 e w r x 2 8 O S R n k s m X O K a N 6 x p v J J a Q o k E V x C W X o t S r Q 7 3 P n 1 N + + x 8 H i h Y i p I e o V a s o C n w y b K C f i U / 2 7 q C F Y t R E i D 9 8 + 5 T V 1 T V m Z + c x D Y v h 4 S G e P n 3 O x O Q 5 B g b 6 f 9 R 8 n 5 r Q G J 2 + R U / P y S Z v P a i q y u j 4 B N u M 8 U a x q R K k d N Y 3 9 i S V E M J 3 j f u k 8 m w m j 2 h C u B W n B L F o 6 L 2 n b n A W b C g U q B g m K A q x e J x K u U K l U i I d O X q u 4 2 O E o k A t c Y F o N M p v f v N r L l 6 c o r + / n 1 / 9 6 k s 6 O z v d F H Q n Z + z H Q E + 0 z O 5 u / t i J 2 3 Z Q V Q X 0 R E u 2 8 3 H w / p a n t j n E k a g 0 q n Z 1 M n m S q k 4 s I Q S q 2 j q u 3 k c 7 E 3 K g a p g I Y a O q K t F Y j H A o T G d C a b 7 s J w A F y 5 b k 9 k v c v / e A B w 8 e c u / u f c e F / v 0 9 7 n 5 / j z t 3 7 r K 9 v d 3 8 w r e C R D J J o V T m T e 5 8 y V C P n a h 2 U J + M r d t P Q d X O 2 b Z E 8 1 y T R z D b 2 X f r V D j p + Y J Y 7 O Q R G T 8 m l D 8 + m X u T B 9 J b R W c i w n h n H B S F w v 4 + E s l + y e L J X t 0 A / 7 G e y m c N Q g g 6 Y z V u D r c f n M V S i V c v Z / n k k 5 s N z o t a r Y a U E k 3 T T l 1 s 0 0 O x V O H / + f 0 j f v P F T f o 7 T v c e E v h m I U L J O J q O w X 7 0 y O L Y R T b C t h H + Q g A W U t i Y l n P c y Y G y s G 0 3 D 8 q t J W G Z B r Z V 4 + q V M Q Y H G 3 O 3 3 g f e + 8 S u g j O z L l w v X z K d J h Q O E 0 2 9 3 b C a D w W q q r J X i 1 G x n Z X o m 1 s i H q d Y K v r V b H E T + u 7 d e 8 D X X 3 / L 7 T v f s 7 C w Q C 5 3 + p U L k 4 k Y M 1 O T 3 H 8 y 2 3 z q W C h A K t L + I X A o X K n j x e X V b S a J E G C 5 x U + F q 9 Y J W Z d O f n P V w n g s 3 D q u 3 k M 7 E y p f r u j M t h u 1 G v n 8 L q V C A e N g r f m y n w x C m m S r 0 N 4 F r G k a o y P D L C w u U q 0 6 Q a s 7 O 7 t 0 d n b w y 1 9 9 y d U r V w i H w z x 9 + u z Q 0 K C j M D W S o V g s U K 1 W e b Y Z Y n 2 / / e d o B 1 s q K M 0 H D 0 O A P J 6 k q g e 8 C q S 0 6 z a U T x y X d K 5 U 8 y Q b U p B I n j I q 4 0 f C m X B K o D i R A q q m 0 d n Z T S K Z I p w e b P 6 s P x m Y t l M k 0 y 2 m 2 w B F U R g d H a V a q f H w 4 U O e P n 3 G x u Y m n Z 0 d h H S d V C p J l 1 u y 6 z Q o l 8 s s L i 6 x + H o W w 5 Q 8 e b n M u U w B S 0 K + f L L n r h J w M r S H 7 4 K o e / R 8 G 8 k j l 2 c b 1 f d 9 Y n m q o R R I u 2 5 H a Z p C K K S 1 j K n 3 0 d 5 7 c K z X K p Y T / g K g 6 R r r e 0 d 3 z c e O m u V U n 2 0 H Z + 7 n I r d u 3 e T m z R v c u n m j Y V 0 r V V V b l r U 5 C t V q l T 9 9 / w I 9 F G J w c J D / 6 Z e X i M U i 3 L 1 7 D z M 3 S 1 Q 5 W R H J k H a 0 R P T M p 8 a Q I s 8 9 7 h D G c z J 4 J H L s K f e 8 v + 9 J J 6 e l M w k 3 z K l 1 X L 3 r d r J H z z t A 1 b L R N L c s M Q q G O B t e m / e F w b R 9 Z M 0 G L 1 V e d V c Y D E I I g W U 5 X t O T Y O 7 1 E m r m P E O D A 2 Q y a b o 7 U l y 6 M M q n n 3 5 C O B z m b / 7 m b / n j H / / E s + c v m l / a g I p 5 / N + T U h A P 2 S C d u S Z f 8 g R W M f E I 5 0 k x x 1 H h X u + / z k Y I p 2 Z f I n Z U Q t 2 7 x f F 3 4 B 1 h d c 8 p n 4 V b z 9 s 0 z Q Y v 1 l k I f H y X 2 C m p b V W + k 0 D X d b q 7 u 9 j b 2 2 8 + 1 R Y D f d 1 0 W H P N h w m H w w w P D 3 H l y i X i y Q w 7 j B 1 p l 3 X F K l Q P N p o P N 7 j K p Z Q U a 1 4 1 W l f V 8 8 k S V O 0 C z Z N Y r s r n S S r v N e c v j D T / w f c G V X H X O z 0 L 7 e B g 3 + 8 w R f 9 p S y j D V l g 7 h U M g C E 3 T G B k Z Z m l p C S k l p m k e u X S N l J J M p j X N 3 k M q l S I c 0 r B p D Y P w 6 g f u 7 e 1 R 3 H h x q L R w 5 m 2 D k s c l U 4 u d 5 E Z J u G S p S y f H n W 4 L G y E d 9 7 o U A k U K o r F I y 1 h 6 X + 3 M S C i A W D L j E + q 0 M + 4 f I x b y r Q P 4 p K j V a u R y O W 5 / d 4 c / / e l r v v / + H i u r q 6 y s r L Z I m Z 2 d X T q O i B G c m 5 t j Y m K c v b 1 9 H j 9 + y o s X L 9 n f 3 2 d r a 5 t v v 7 3 N N 9 9 8 R 6 l U Z m x i C i K t 7 + O Q K S h 5 J A o C F Y c w d U n k E M e 7 V n i 2 U r P E E t 5 8 l U 0 8 H j 4 T I U c e z o x T A h R s W 7 C z v Y W U k n j Y 0 X d + y m r f D y l O k 0 6 n + d n P P u X K 1 c t c v 3 4 V K S V 7 e 3 v M z 8 + z t b X F 3 t 4 + v / v v f 6 B c L n N w U C A e j z c U G g 1 C C E k 4 H M E u b R G N x e n r 6 2 V u b p 5 Q S O f W r R t 8 + e U v G B o a J B n T f c e D h 7 o U C q h 1 U t A T t w L z T 3 X J 5 J A n Y F 8 J T 0 r V y S d s l 1 S 2 T U d n q m U c v c 9 2 p i T U 6 7 0 a o X C Y c q l E d / z t J M 5 9 q F A U S E X e 0 I h y 1 7 R K J B L E 4 3 F M 0 6 K n p 5 s r l y / z y S e f U K s Z T k W l C 5 M 8 f v S E r q 5 O 7 j 9 4 y B / + 8 M e W R e c q 1 S o S y f p O E W k b T F 2 Y I J v N c u v W T T o 6 O o h G 6 1 H p r V q F Q y Q F N / o h 4 H B I h G 2 i u i e N A p L J V e 8 8 O 8 m T T h 6 h 6 k 0 g p c 3 1 G 4 e v i / w + c K Z s K M U N w Q + F w 2 T C 1 W N n N T 5 W q A r 0 J W 1 m e k 8 3 l + R B S k m x W K R Q K H B w c E A + l / O L 9 i c S c c b G R p m Z m W Z 4 e I h r 1 6 + y s b H J Q H 8 f f X 2 9 L Z 7 B p c U l r l 2 9 g h Y K k 4 h o y G Y R F I B h O U m T H j x 3 t 7 A D d p I U Z K M m A 2 m T k B o g k D s f 5 R F L u B O 7 T j i S p + Y 5 w c H C l U 7 x W B h d d 0 o A n J V 2 p i Q U w L b h L J s S 1 W y 8 E h M / N b W v I + 6 Q y V N 7 T w v T N P m n f / q K 3 d 1 d 9 v b 2 S C Q T p F L O E q h B K O 5 C 1 t e v X 2 V 9 f Z P d 3 V x D n T / T N C m V S i Q S C b q S G v t l k 4 O D x q V R g x D U + 8 a T P N K f M 3 I k k 4 r g a n 8 N 6 T k Y h O 2 r e A 2 S K e D J 8 6 S S 4 + H z J J T F h Q u j D X / / L O B M 2 V C g Y A r F c Z m r K r r S q s 9 / 7 F A A I Y 5 f i O 0 o S C l J p 1 O M j 4 8 z O j r K 8 P D w k T X Q E 4 k E P / v Z J / z q V 1 8 S i U S Q 7 q J p 6 2 v r 7 O z s 8 v r 1 A q u r q 3 Q P z / D 9 g 2 c N S 6 M G 4 U / c B l U 3 X 8 1 z p M x U t + G s l G F L D C v o 4 X P t p K C K Z 3 s 2 U 6 t 0 k r b N w F B v y / h 5 3 + 3 M S S h L S A y 3 I P 3 V / o r / p P u p Q A L n u t o P 2 J N C S o m u n y 5 a X N M c d W 5 9 f Y M n T 5 7 y 6 t U r M t k M v / n N r 5 3 A X B V u D V X o y i Y o l c r N L w d g s 6 C 2 k s m N u d M U m / N d B p 0 J Z 7 n S l 9 s q x a q 3 q J p D G F V p d E J 4 r 3 W k l D O J K 9 x 1 o p L J K P H 4 y b K K 3 y X O H K E A D m Q Y 2 x b Y 1 T x S e K V 4 6 / i Y 1 b 6 O u C A d / W E P E C H E i V P Y P V i W x e 7 u L k t L S / S N X O D i p S s k U l l C o T D n z 0 9 S K B S J x W L o m t a w T q 4 H w 4 K V P d U N Y H X V P T e S v D d h c r m 3 R m / S Q r r r O G 0 X w H L j 8 T w p Z V k B M r m q n W 0 7 a R z C T + N w j k 9 N j T V / h D O B M + e U U B Q o W W C a B u F I z M 1 Q F T 8 Z B 0 X J U H 5 w t S c p Z U t 1 p K O Q y + V 4 8 P A R K y u r F M o 1 H r z a Z n H b W V Z U U c A w T b a 2 t 8 n n 8 4 4 k a X J c S C n 5 0 + s w t u 3 V f K i 7 v 3 8 x V m G 6 x y A V t Q H H b j I s Q c 2 U v m T y m m N T B a S U q 9 p 5 N p R n O 4 V 1 l f G J 4 Z Z x c x b a m Z R Q A C X T q S 0 w l q 2 5 4 r / x / M c q p Q 6 r N H s a e O r S c Z A S i q U q T 1 4 s c v 3 a V a 5 f v 8 Z n n 9 7 k 5 r k o u 0 v 3 u f f 9 H f L 5 P O F Q i N 6 e H l 6 + f M X l y 5 c a 7 r 1 h w R / n w p h W 3 d 3 t k W k k W 3 P U O M 8 u c m 2 i R 2 t a P W r c b b 6 9 5 J O p L q 3 q t p O F t G 2 6 e 7 J o R 5 V i e o 8 4 c 0 4 J r + 3 L C L Z l k 1 C L / s 3 8 K U g p y z I o l U r s 7 u 5 S K B T e y H 6 M x + M Y h s n c 3 J x L L s f D F o S U k s c v X v O n + 4 t M T U / 5 g b Z e + s c n n 9 y i r 6 8 X X d d R F I U L F 8 4 z N D j k k 2 m v o n B n K c Q f Z s N U T S d T w F P z H L X P Z i B l + S T x J o 2 F E B y U 6 x O 3 I u h 8 8 F S 9 Q O a u 1 / e e 7 S S E x a 1 P L 7 e M l 7 P S l K 9 f L J 6 + x 9 4 R e r U q Q k h u r 2 V Q N R 1 V c z p X V V R H v r o D 4 2 O B b V m k q s / p j F u E w x F M 0 y S f z 6 O g I J F u p z n w t s b G x 8 h m M 3 4 1 W c V d 3 b B S q f D i x U s s y y I U C l O t V u j v 7 6 e 7 u w v L s s n v F 5 H C 5 t z 4 6 K G h O 4 u L S 3 R 0 Z E m n 0 w 3 3 e S G n M 7 u j B w h U t 5 k 8 h 4 S C 4 I v x C k i B b d f V u v k d h c U c v s S y g w S y L a c O Y W B x 6 n q 6 e w 3 b N N B U y b / 8 V 3 / R 8 D n P E s 4 0 o R Q k K S P H i 7 0 e q i K E q u q o m o a q O I s l f 4 y k G k h Z X B 6 o e / m O + m 5 S S p a W l t n Z 2 X H T N R R y u T y V S h U F 2 D 8 4 Y H R 0 m K 6 u L i z b Z n V l l Z 6 e H n p 7 e 1 A 1 j f G x o + d x l p a W 6 O / v J x w O + 5 9 j O a / x Y j v k q m r B A i q B c C E p H E K N V X w i e V L q n + Z D v r S y 7 Y D n T t j Y P p n s B j L Z l o F l 1 r B M g 7 / 4 Z 7 + i o 7 N 1 Z f m z A u X r l 2 e X U A B J q 8 r D 9 S g o j o R S N Q 1 F 1 V B V z V c / j h p 0 H y J + N l o j 0 8 b T V z I U I r p E c x X 1 I K S U V K t V H j 5 8 x P T 0 F J F o l E g 4 z O L i E n 1 9 v c T j c X Z 3 d 5 m b e 8 2 n n 9 5 q c S w 0 o 1 K p 8 O r V L N e u X Q X 3 / R d z G q 9 8 y V Q n k 1 c b L 7 i v K z a f j d Y J Z Q u b + W 2 V 5 b z S Q C I h b B R p Y Z j e w t Q u m W w L 2 / T I 5 C x M r S k 2 / / u / / u f N H / V M 4 b 1 X j j 3 u p 6 R G s L x V w I V z w z 2 X 6 s d G J A 8 P V s N Y b X w K 8 b B E U 1 r J h K v q G Y Z B J p 0 m m 8 0 S i 0 Z R V Z V z 5 8 Z 9 j 1 9 H R w e 6 r p H L 5 Y + 9 d 1 J K F E V F S o k t J L e X Q r z a 1 p 1 J W l d d c 8 h S J 5 M 3 Z y S l Y D h r O O e l 5 9 m T r O y 5 Z P K b Y y M Z Z t 0 B I W z L V Q O d / r Z t C 1 t Y C N v k z / 7 8 s 5 b x c d Z + j n 5 M n Q W o K p 1 R w 1 U J P F 0 7 + P t s r L r w N m H Y C k 8 2 W v P B F H w t t y 2 k l E Q C w a r N U F W V y 5 c v s b a 2 x s L C 4 q G k E k I w O z v H 4 G A / U k p 2 i w p 7 F c U h T H O a u p + z V H c y x D S T g a T p k M n t o 4 U d x S e Q / / r m v n T V v f q 2 0 4 R l E Q n p 9 P W f r q L t + 8 D Z J x Q w 1 B v y U 5 5 t q 1 H v 9 j r o Y y P V d l G l Y p 7 u O 9 m 2 T U d H t v l w A y K R C J c u X a R c L p H f 2 2 s + D W 7 B l m Q y S U d H B 1 J K O m J O v J 1 0 v X C e 8 y H o C v c J J g Q 3 h 5 y p D o 9 M l i 1 Y 2 1 f c S d o 6 k T x 3 u B + f Z z t 9 X C e W s y 1 s k 5 u f X P k g + v j M V D 0 6 q h l a i F S c u h r g G q 9 O Z 7 i d 3 C a P 5 0 O G p s D s z u k S D C 3 L P t G g 0 3 W d g Y E B 8 r k 8 B w c H i M C 9 s y y L V 6 9 m 6 e r q q t t K v i R y V D x P l a t L q n p w 6 / m u A J l s J 3 d p f l v 1 y e Q 9 A L 3 A W G E 7 1 z r N s 6 H q X j 5 h m Q w M 9 n B + e q x l X J z F d u Z t K O 9 n q D + C l K 4 q I A K q g d s x 9 k d m U 9 k S N g s a + T b L h j b D t m 1 y u R y l U u l Y Z 4 O H b D Z L K p X k w Y N H 3 L 5 9 h y d P n j I 3 N 8 + z Z 8 + Z m D h H I p E I F E Z x i O C p a U F i 1 N U 4 h x y q 4 k k e 5 5 x l C 1 b 3 v N Q M p 3 n E q b / O k 0 Z u h V h h I S z T 1 U a s D 8 J 2 8 n 5 O d v f P A F R V Y S x d C d x 8 V 7 9 u 0 r s d S S U / m k n g J + u h Q 8 u J e T B N k + X l V b q 7 u 0 8 c c l Q q l d j a 2 m Z m Z o q b N 2 8 w N j a K r r v V a R O J g F S S m F a d D M J L B v S J 5 m X Q O v u 6 E i S a 4 M m 6 G i C T S z a P T A E C O S R 0 t Q / L 0 0 J M u j o 7 G l Z s P O v 4 Y A g F k O r v c b I / P Z U v q G t 7 k s p 2 F i i T g a I g H z I M W 6 F 2 T P C 5 c I N h 0 + k U 2 g k W H d v Y 2 G R l Z Z V L l y 7 S 1 d W F p m n E Y j F 6 e n q o V B r n j o S w e b X t R Z E H b S j n n L P v k c g m p D r 9 Y N k 2 c 9 s K u Z J D w D q Z X N X P s 6 E 8 a R V w Q t i W i W 0 b q I r k n / + v / 0 P z x z / T + K A I B T A 5 n k R K T 9 / 2 O i H Q M e 6 T T w q n 9 p v f P l D o q s S y j 5 Z Q Q k g i k f b V h p q x v b 2 N Y d S Y m Z k G n K g K z w a y b R v T c q M V h B P h U K x J 1 v e U V j X P t 6 n q x B O 2 4 M W G y q s t h W 8 X d F b 2 c B 0 O 9 X g 8 K U R A Z X d + O w R y F w O w T C z b R A q b v / j n v 2 3 + + G c e H 4 R T I t h i M Y 1 M S g u o f G a 9 Y 4 J 6 u N e B H 7 i U M m y F Q k 1 p P t y A S q V C t V Z r P t w A y 7 J 4 / v w F + f w e g 4 O D A W d D n V C q q h K L R p E S d o r w / b L G N 6 9 D m K 7 j o I F A / n y g N y f l t F x Z s r a n Y J h 1 7 5 2 j N d h I 3 6 l U l 0 h 1 U n m S y U T Y J m P j g 3 T 3 d r b 0 / 1 l v H 4 x T I v g z P p J G V Q T C N h s 6 x + s 4 5 2 n Z v O / p / R 8 e w d Y P j l b j a r U a G + s b 1 A K 1 9 3 Z 2 d n n 4 8 B G V S g X b t l l e X q G n p 5 u J i X P g q o l e s 2 0 b 0 z R Z W V l F S v j q d Y h 7 K x r 5 U v 2 6 u l v c s 4 E C k i k w B + U 9 y D y i O f 3 j 2 k v C x n L 7 y 2 t O 7 J 4 X Y u Q 0 X V X 4 z W + / a O n 3 D + H n g 1 P 5 w J n c v H q x y y W K 6 X e K 0 4 F u Z 7 k d 3 0 A q 3 1 v l k e r D c F 4 c V 0 G 2 W q 0 y M N B P s V A A 4 O C g w N r a G p O T k y w t L f H k 6 T O S y Q S Z T C b g 4 v Y I I F z p 9 R I h J P F 4 j J p h B p w O j Y R x 7 l + d W P 4 c k v s Q 8 7 c 9 m y l w z n v 4 O e c 8 t c + N 2 X N J J Y X F v / o 3 / 8 u J v Z V n D R / m p w Y 0 T a G v K + p 2 k O N i t W 1 P F w 8 Q K T C B 6 E u p 4 O R k g / P i m J H 7 n l A y 1 C M X M r M s C 0 3 T M E 2 T + f l 5 V l Z W u H T p I r F Y l P P n z 3 P p 4 k V / k r b R Z n J I U i 6 X k V J w U D h g Y c u g W n P S 1 I P 3 y 9 v 3 S O X P I 7 n n P Z V Q e n l M T d p B 3 c 7 1 V D v X d n I 9 e p 6 6 d + X q D J H I h + P V a 4 b y 3 d z K 2 R x F J 8 T C 4 h 5 b u 1 U 3 Y N Z Z p E x R d V R V Q 9 V U F M U p p q + o b p S 6 q q C 4 0 e r e b x T F n x A 9 y c T o u 4 a u S m b 6 L P r d 5 M N m l f X J k 6 f 0 D / S j q S q x W M x f w T B I o O O a Y R g Y l u D u W g L D c t I r m m 2 s u t o n G m P 4 h J s s 6 E k x 3 w E R k F S + j R t w R P g R 5 Q a 2 Z X D x 0 n m + / N X P H H v k A 8 W Z T T A 8 a R s Z z q C 6 r n S n g 1 y d 3 P Y m B j 0 d 3 j O C 3 X 1 h + 4 U / v I 7 3 B 8 w Z k 1 i W U J j f 1 b G F p F y u s L 6 + 4 Q 5 y p y m K Q j w W I 5 1 O o + s 6 Q s q G H K T m Z t s 2 + / v 7 2 A G 1 T 1 V V V g 8 i T m q 6 8 O q H B 9 Q 8 b 0 L X f d 8 G s g g 3 V d 2 T Q u 5 9 t W 3 H Z v L t W 9 d m a i W T S S Q c 4 u e / u O U G K 3 6 4 T b k 9 t 3 o 2 R s 0 P g C 0 k 3 9 9 b w R a q m 9 7 h S C p V 9 V I 9 V H f b k U i q 6 k g u R z q p T o K d 4 j o 8 X c m F 4 r y 3 Q j 3 v y o P S + N 8 7 g Z Q S y z T o s Z 6 Q i m n E 4 3 F C 4 T B 7 + T y g c O 7 c O K r q R I c 7 D Z y F z e q r X g g h y O V y b G 5 u E Y / H 0 T S N v r 4 + b C G 4 s x S m b H j X u w 8 V v + C K o x 4 7 D 5 0 m y d Q w w R u M o q h L J i E 8 1 7 h j M 3 k P P o d Y B u G Q y r / + y 3 9 B K H S 6 U K u z i I + C U A C 2 L f n 2 z p J D E E 1 3 S a W 6 6 l + d U I 7 a 5 6 6 p F F D 7 n G o 1 X h X S O s F Q F P + 3 R y C f R i c k V e P 1 D R s B K d j 8 P t L 7 5 + 9 L C S F V 8 O W 5 C q Z h I t 0 i K q F Q y C d Q s y o n J U 6 2 r 5 T s 7 O y Q y + X p 6 + t l a 3 u H 3 p 5 u w p E o 9 1 Z C F K o 0 S G e P J A 6 x A q Q K q H Z S u B V e P T V P B l z o H p F 8 7 c D 2 H Q + O z e R I J g X B v / l 3 / + L U V Z r O K j 4 a Q g F s b x d 4 O b s D X g K i 5 t p S q u Z k + n q S y f 3 t 7 A d t K s + e c o j l k K n Z v q o n J L l U a + J C M z G O g 3 v 7 2 / S C k / b u n X P 3 p G S q x 2 I o Y z a Q y D l 1 O J m E l F i W x Y v n L 4 h G Y w y P D K E q K g 9 W d S c 1 w y 3 X 5 p H K I U 5 A G j V I J u F H R w S 9 f 4 5 q 6 A X G 1 i f a H U d R 3 X F k u U G v S M G f / f Y X T E 1 P B L 7 1 h w 3 l 9 v z H Q y i A j Y 1 9 X s 3 t o v j q n k c m V 0 K 5 K q B H r H o 6 v U s q 1 S G Q p + r 5 R E N x N b 8 6 w X z p 5 e y 0 E u 0 Q + E S p H 2 h h l E e e x m 2 H J J o q + d W 5 e u 3 3 I I F a p Z Q n e b z r H M K Y t u S 7 x T C m H a j s 6 r 6 m X g o s m O I u / H W a g s T y 1 T 5 3 2 7 Z t Z C B 4 2 X d E B N U 8 2 w B h 8 + s / / w U z l 8 4 H v / Y H D + X 2 / N p H R S i A 5 e V d X i / m U B Q N R X O 8 f 6 r q q o J B r 1 / Q 4 x e w q x q k l U c g n 2 Q B S e V w q i 6 V G g j m w i N f M 1 y y + L v e / / 5 h j y D B 7 T q B M l G b m 0 N G g x Q 6 m l g e W S S r e y p z O 0 6 l W J 8 4 A b J 5 x 1 p t p q Z S y Z 6 j Q g g 3 j 6 n + u + 7 R 8 0 h U d 0 Z I Y f P 5 F 5 9 w / d Z l 7 w t + N P g o C Q W w s p J j 7 v U 2 K A 6 h F F V z b S p X a h 2 q / g X V v n b E c i W Q R x 6 f M J 4 E 8 x D Y q Q s v 8 C V O 4 E B g J 0 g c Z 9 / d l n W V T y I Z S l u c 7 3 Z K q 3 k k a i V W 4 J y U V E z J q 2 2 N f K k e w 9 d g N / n k a r W f H N I 4 q p 4 U A j s g l R y b y S O T K 5 n c y H F P z R P u P B N S 8 M U v f 8 a V 6 2 d r G Z q 3 B e X O R 0 o o g P X 1 P Z 6 / X A f F V f + 0 J g e F q r m k U l A V r a 7 u u W X K f G k V U P + C R P L l k X / M / 6 9 O o M M k F D 5 7 n M 3 g l s c h f 9 s j k 7 s t J X 0 p m + k e s 5 F Q L t m C p N o q K O T K K o U a l K s g v O u b 1 L x m 6 S Q 9 a R S 0 m 9 x j z r b n V v f c 5 R 6 x P A e E J 6 F M L N O J z 1 O Q / O a 3 X z J 9 c d L / t h 8 b l D u v P 1 5 C A a y u 7 P L 8 5 Y Z v U y m K k / P j u d P r x H K l 0 q G O i i C x c C V S s 6 r n S T A P T W R q E V N B B E k T 3 H c O S J 9 8 D n k i u i A e E l z u M z F t y f M t n a o J Z a M u f e p k c / e b y e N t B 9 U + n 0 h e U q C r 9 n l k 8 l z j 3 j y V 7 3 x w t r 2 5 P m 8 e 0 F H 3 T D R V 4 V d / 9 j k X r 1 z w v u B H C e X O 6 / W W r v 3 Y Y B g W f / r q O b b A V / / q d l S j O 9 2 T W M 3 2 V I v q B / 4 x f 9 v Z a p F W J 4 Y M u i s c 6 e T S y f 0 X / F 0 n W l 0 q e e / R T K D A N U I 4 5 9 t I q H Z q X r M D I r g d d J H 7 l Y p s T 8 1 z y C R s k 0 g k z P / x l / / b R + M a P w o / C U I B 2 L b g H / / x M a Z N Y M K 3 T q y 6 s y L g n P C k F c 6 2 L 5 V c O 6 p R Q t V F U 3 D b O 3 I 0 3 C 7 w f w X 3 2 0 s q 5 7 d L o i C B v G M B M t U l V X t 7 q X X f z c I N k M q 3 o X y b K U A o 3 z V e V / N s y 0 I K i 1 g s x r / 5 9 / / y o 5 i 0 P Q m U 7 3 8 i h A K w b J s X z 1 d Z X t 1 F U b y i m a 6 k U t w o C 1 / d C 6 p / d Y n l a H 1 B 9 a + N 2 t c g s V z 4 u 0 1 6 X 5 u 7 7 0 k i f 8 8 l T T s p 5 e + 3 U / G a 9 9 s S y D n m S 6 e g z e T b S 6 5 E c g n l h R v 5 0 s m V T E F V D 2 l z + e o M X / z y Z z 8 Z M g H 8 f 7 K 3 R u D U l r P Z 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 G u i d = " f 4 f 1 a 9 8 a - 0 b 0 6 - 4 4 3 5 - b a 6 4 - f d 1 6 5 0 7 4 b b 2 0 "   R e v = " 1 "   R e v G u i d = " 0 3 3 e 1 e 9 c - 3 a b 5 - 4 8 a 5 - b d 2 1 - c 8 1 4 f 2 7 d d 1 0 d " 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V i s u a l i z a t i o n   x m l n s : x s d = " h t t p : / / w w w . w 3 . o r g / 2 0 0 1 / X M L S c h e m a "   x m l n s : x s i = " h t t p : / / w w w . w 3 . o r g / 2 0 0 1 / X M L S c h e m a - i n s t a n c e "   x m l n s = " h t t p : / / m i c r o s o f t . d a t a . v i s u a l i z a t i o n . C l i e n t . E x c e l / 1 . 0 " > < T o u r s > < T o u r   N a m e = " T o u r   1 "   I d = " { 9 1 A 2 E 5 A D - 3 6 5 E - 4 7 9 4 - 9 6 1 4 - 2 4 7 A 4 1 6 F 5 C D 9 } "   T o u r I d = " 2 9 4 5 4 7 8 4 - 0 d 6 7 - 4 3 3 e - a c f 6 - 2 5 8 7 4 1 8 5 c 7 0 4 "   X m l V e r = " 6 "   M i n X m l V e r = " 3 " > < D e s c r i p t i o n > S o m e   d e s c r i p t i o n   f o r   t h e   t o u r   g o e s   h e r e < / D e s c r i p t i o n > < I m a g e > i V B O R w 0 K G g o A A A A N S U h E U g A A A N Q A A A B 1 C A Y A A A A 2 n s 9 T A A A A A X N S R 0 I A r s 4 c 6 Q A A A A R n Q U 1 B A A C x j w v 8 Y Q U A A A A J c E h Z c w A A B o U A A A a F A Y W x t k k A A E V A S U R B V H h e 7 b 1 n c 1 x Z m t / 5 u y a 9 h f e G A A m A 3 l R 1 V 3 V V d 0 9 P 7 8 Z G j F Y R u 7 F S r G K l 1 U h v t J J 2 v s R 8 q N 2 R Z j S j 7 p 6 e L k c W v S c A w n t k A k h / z T n 7 4 p q 8 a e B Y L B J k 7 R 8 8 x H W Z y L z n / O 9 j z v M 8 R / l / v / p e 8 h O D q k e I Z C 9 T q w k s y 0 I I g Z T S b x 6 C 2 0 F c G z R I q k X 2 9 w / o 7 + 9 r P g 3 A Z k H l 0 X q 4 + f C h U B R Q A O H + y X R U c K n P x L A V O u O C r 1 5 H K J t K 8 8 t Q F e c 1 n w w b Z O O C b x Y i W A J q l n O t A l w Z M O l L 2 c 0 v B W C r q N G d s F F b 3 x p F q R / c 2 N j A s m x 2 d n Z Q V Z V Y 1 y T L l S 5 0 D W 7 2 5 C i X C o y M D G M Y J s l 0 m j 8 9 n q V Q q j S 8 3 0 8 B y k + N U F o o g Z a c x j A s b N t u I J J H o M O I J K W k L y W 4 O m C w s r J K f 3 8 f u q 4 3 X H N Q V V j a 0 9 k 4 0 P x j q g K x k C S s S 6 I h S d V U 6 I g J N B U s o 0 w 1 t 8 z U 1 C R V S + H 1 r s 5 W s f 5 a R Y H O m C B X U W n 3 s R T A O 9 w R F 1 g C C l X V P 6 8 q z v n B t M 1 4 p 0 U s 1 O Z N j o G i K A g J + f w e q y v L x G I x z p + f Z L + q 8 W g j T L V q 0 p c y S V v L p F I p N E 2 l p 6 + P u 6 9 W O S i V / c / 3 U 4 D y N z 8 h Q i W 6 p 6 i a C U y z l U w c Q y Q P V w d M N L v A f i 3 E Z F 8 I I W F t X y d f U a l Z s F 9 1 B n 5 E l 4 x 3 2 n T E b O J h 2 V Y C A O R y O T R N J 5 N J A / D 9 c p h 8 p U 6 I t w l d h V h Y 0 J s U L O c 1 M j H J + W 6 T R N j 5 f n s V F V t A Q i s j h C A a j a K q z m e R Q L G m k t 9 c J B q N s r + / R y q V Y t 0 c I l + L E N U l 0 z 0 1 Q q J A J p 3 E s i z C 0 R j F m u D e y 9 d N n + T j x U + G U P G e a 1 R r G p Z 1 c j K 1 O + Z B U 2 E k a 7 G Y 0 5 G u J J E S u h O C a 4 O G r 8 I d h 9 c L C w z 0 9 x O N R h E S f j c b b S u J T g t F g Y l O k 8 6 4 5 P 5 a C N M + / N N 4 a i O A a V T J F m 8 z P D S A r u v U a j U M w y A W i 7 G + v k E 0 G q F Q L H P l 1 h d k Y 4 K t 7 R 0 e 5 Y d A U V G A 3 1 y o E d I U F E X B M E 0 S 8 T j L u w e 8 W F x v / r M f J Z S / + e r u W + i + s w t V C x H v u U K p V L e X h B A Q I E w 7 4 r Q 7 F s S V A Z P + l E 3 V V A j r k m q 1 x v z c L J c v X 2 q w P Y 7 C 4 y d P G R k Z J p N 2 p N M 3 i 2 G q p o o l p K v M / f h Q F e g N 7 T A / P 0 d 8 + D M A J t J 5 z v V F G 7 6 H Y R g U C g W 6 u r o Q Q r C x s c n A Q D + q q m J J u L 8 S Z r / q q K q / m q g R 0 S W a 5 j z A o t E o Z U P w / Y v X G J Z z 7 z 9 W O I + V j 7 Q p m k 6 k 8 w r F o u 1 L p i C Z g h L K Q 7 t j z b j Q Y 9 H v G v n R k K P O h X S N a D R y Y j I B p J J J t j e 3 / P 3 P x g y u d m 3 T I V d J R S Q D a Z t k R H K S t 1 Q U R 6 V T F I c k h 6 H 5 v Y S E D a P b J x N A x Q p x 9 + 7 9 h u v C 4 T B 7 e / s A q K r K 4 O A A e 3 t 7 H B w U 0 B X 4 d M T g 1 l C N b M z m j 7 M q z 5 + / Y H d 3 F y k l l m W B b T D V m 0 L X 1 Z Z + + p i a 8 l + + / n g l V L j z J r W a j W 0 7 7 Y e o e I o C y b D g 2 q D Z 1 r C v 1 W o s L S 5 x / s L 5 U 5 F q b W 2 N S r n C x O Q E u 7 u 7 7 O 7 m G D 8 3 T i R c 9 x D a E h 6 u h d k t t b e t J r s s B j I 2 U V 1 i 2 A q 5 s s r r X Y 2 S 0 f 7 6 o y C F I F V 7 Q T Z i M D M z D c D + / g E b m 5 u k U k k G + v v 9 7 2 f b N k t L S 0 x M T D S 8 h 5 A g p Y K u O d d U q 1 X S 6 T T l c p m N z W 1 W S h + v l P p I C a U Q 7 r x B r e Z I p q B b n D b E a d 5 v h q L A b y a r a G 3 G Z 7 V a 5 e X L W S z L Z G C g n 4 G B g e Z L j s W j R 0 + I x W L E 4 z E G B w 9 / / c t t n f U D H U s 4 9 p q H m T 6 T 4 U y r W 1 x K y Z 2 7 j 9 H 7 b n B Q C 2 H Z d Y / g U R i N r r K 3 8 Z q + v l 7 2 9 / f p 7 u 4 m F o v S 0 d H h X y O l c 1 + 2 t r b p 6 e l G U R y 7 K Q h v X 1 E U y u U y q V S K j Y 1 N + v v 7 + M f H 8 2 / F V j x r U P 7 L 1 / c + q q + l a C H C 2 c t U q 2 + H T K o C f 3 Y I m V 6 / f k 0 q n a a 7 q 6 v 5 1 K n w + v U C O z s 7 z M z M k E o l m 0 + 3 R c V U e L W t s 1 d R u T 5 o k I m 1 f g 8 p J f f u 3 e f 6 9 W t o m m P f V E y F 1 X 2 N n Z L G a N a i P 2 2 T K 2 t s F V Q K N Q X L s u i W 8 2 y t r / D L X 3 7 J 5 u Y W p m m S z + f p 6 + s l n c 4 Q i 0 U b / s 7 6 + g b Z b I Z Y L O a T y C O c o i i Y Q i G s O Q + f a D T K / L x z 3 1 7 n K h + d T f V R 2 V C K q h H p a E + m I K k 8 S H m 8 f f L z 0 V o L m a S U L C + v Y B g m X Z 2 d j S f f A K G Q z u j Y 6 I n J B M 6 8 1 r V B k 1 9 P 1 t q S y Y d s n K C N h S T n u y 0 + H 6 s x m H E m d L s T N p f 6 T T 4 b M / h y U q B h E 4 v G k E A y m a B a r X L x 4 g y 9 v b 2 O a r u 0 T K 1 W 8 9 / T c 0 5 4 N h P U b T U p J b r i 9 E M 0 G m V x c Y l y u U x X Z y e X B j v Q t Y / L p m r z 3 P 1 w E e 2 6 S q X i 2 E v N Z G p G X W I 1 n 6 k j H p Y k I / U L b N u m V C r x 6 t U c A w P 9 T E 9 P t a g 5 b 4 K u r i 7 2 X Y P / b U J R F D q 7 O n x n w n F 4 v h U C Y H x 8 j H L V i X J Q F I V a r U a 1 W k V R F L L Z D K O j I 5 i m y f b 2 j v / a S C R C Z 2 c n 6 + v r h 9 5 v K S U j I 8 P M z E w T C u l 0 d G Q Z z 5 4 8 m u R D w E d D q E j H R S o V 0 d Y B 0 Y z D j g e h K D D Z b S G l Z G 9 v j x c v X r K 9 v Y 1 t C 6 a m z r d E S P w Q e I b 7 j 4 F s N k u p V G w + 3 B b D G Z v 5 X R 1 d 1 + m b u M X D B 4 9 4 / u I l M z P T p F K p h m u T y S T d 3 V 0 s L C x i 2 4 7 9 p i g K 0 W i U W q 1 2 6 D 1 W F A X D M P z p i 6 H B A a 6 M t g / f + h C h / N d v P n w b K t o x 2 T Y C g j b k a d 7 3 o L g T s w B R X f L Z u I G G z d r a O j 0 9 3 U Q i k e a X v D V s b + 9 Q r p Q Z G x 1 t P v W D U a v V W F l Z Z X K y 0 R N 3 G L y Q q a 2 i x s V + g 9 A J H r m b m 1 t E I h E i k Q h P n z 4 l m u w k p 4 5 z a 0 w h 2 X T b P I l e L p d J J p M o i k q t V m V j r 8 T S z k H j x R 8 g P n g F V o 9 m q V l J L K t V M j W T p 3 n f g x L Y P t d p 8 c W 5 G r o i 2 N 7 e o a O j 4 0 c l E 8 B u L k c 4 5 K h b b x u 6 r l M q l Q 7 9 7 s 3 o T 9 s o i m S 7 p P L H u S g l I 3 h 3 2 q O v r 5 d E I k 6 p V C S d T h E J a V T t M F 8 v R M i V G 1 / v f Y 5 I J E I u l w M k 4 X C Y h C Z I R f S W / v 3 Q 2 o f t l F B V R H i s Q T I 1 d 9 x h + 7 G Q J O X a R x L o k s t M h F 6 S U T Z B C g z D Y G 1 t n d 3 d n Z b X v k 2 Y p s n B / g H d 3 d 3 N p 9 4 K F E X B s h r v z X H o S w k i m k R I + G 4 p g t n q k W 9 B K B S i u 7 u b C x c u M D E + x F R i A a T F 3 e V w i 5 0 q p R N F k U 6 n q V Q c 2 y w W i z E 9 3 E M 4 p L X 2 8 w f U T i D Q z y 7 C 2 a u Y Z l 0 y E T B + g 2 j e x 3 U f F 2 o K A I m w 5 M Z U D x P n R u l 0 5 1 q c D k + h q i p / + t N X l E q l p n d 4 O w i F Q g w P D 7 K 0 t N T 2 c / 5 Q K I p C J B I + 9 X v / c q K G r o I t 4 A 9 z T p z h S a G q K m M j g 1 w a k E j g H 1 5 F K B u N 1 0 g p U V W V t b V V x + 6 1 b I x a l Y m O R p f 8 h w b t / / w P / + m v m w 9 + C I h 1 X a R S c Q x 6 j 0 Q n J V M Q Q x m b G 0 M G t V q V h c U l t r e 3 2 d n J Y R g G A w P 9 d H Z 2 0 t n Z y Y s X L y k W i 2 Q y G T 8 C + 2 0 h E o m y s 7 3 N + s Y m t m 2 7 t o V D 9 h 8 K R V H Y 3 9 8 n E o k S i Z z O o 9 a T t F n Z c 5 w v a w c a o x 0 2 p / l U q Y g k E R Z s F j S W 9 3 R H K 4 g 2 9 k d H R w f L y y s I K Q C F d D p F T J P k y m b D d R 8 K l L / 9 9 s H R I + 4 M Q o t m s f U R D M P 0 v U V v Q q a O m O C T E e f R O T s 7 x / j 4 W I v 3 T g j B k y d P 6 e z s x L Z t 8 v k 8 5 8 6 N k 0 q l 3 t q g 9 2 B Z F q 9 m 5 + j u 7 i K b y a D r e s P f M A w D X d d P T e i V l R W i 0 R j d 3 a e f g F 4 / 0 H i y 4 d h 3 w 1 m b m d 7 T D / T N o s a j N e c 9 e p K C G 0 M m N Q s i 7 q 0 W Q l C t V k k k E g g h q N V q z G 7 s U T Q + v E l f 7 d / + X / / 5 r 5 v 1 w L P e 1 M R U g 6 r X j j j t j j X j y 4 k a i r u 9 s 5 u j p 6 f V j j k 4 O E A I w e j o C J l M h s 7 O D m Z n 5 9 j b 3 6 e j I 3 v q w X 0 Y h B C s r a + z t r J G N p t h Z W W N 5 a V l E o k 4 x V K J e / f u Y w u b h Y V F V F U h F o u j H h U F G 4 B t 2 5 i m Q T J 5 / M S x J W A 5 r 1 O z F J I R x 8 7 c L G i Y t k K h q m L a C t 2 J 0 w 3 0 Z F i y d q A R D U n 2 K i q v c z r L e z p V U 6 U n K V B V F U V R E E K 4 E R 0 K 0 Z D K T q n W 0 v d n v W n / 9 j / 8 5 w 9 K 5 U v 2 X a N c b i X T S Q j k Q Q F + e a 5 G y E 2 M 3 d / f p 7 O j g 1 A b T 5 t l W a i q S j w e B 9 e 2 6 u 3 t B S l 5 9 W q W W C x K J H K 6 K P M g v F S I l y 9 f M j g w w N T 0 F K l U i t 7 e H v r 6 e t n Y 2 M S 2 b K S E i x d n G B j o x 7 Z t Z m d n M U 2 b c D i M p m l H / n 0 p J V t b 2 3 R 1 d R 5 5 n Y d 4 W K K o 0 p c g U d 1 m s + D s H F R V V v c 1 x j p O 4 K k I Y D h j o c k a 2 + W I G 0 W h s L e 9 S j q d I h F 2 n B S z s 7 O u c 0 a S z + U Y 6 + t g 8 + D H m Z / 7 s f B B E S q e 6 a F U d b J B j 4 q E a N 5 v x p U B k 2 z M e c r u 7 u Y o F s t 0 d b U P I c r l 8 k S j s Q b X u a I o J B I J O j s 7 W F 1 d J Z / f I 5 1 O + f F y J 4 E 3 y J 8 / e 0 6 2 I 8 P 5 8 5 P E Y r G G a 1 R V p a M j S z g c p l q r 0 d G R 9 S d P + / r 6 C I V 0 l p e X 2 d n Z I R a L E w 6 3 P h B w S f v s 6 X N s 2 2 Z 3 N 8 f u 7 i 4 7 O 7 v s b G + T y + X Y P z i g V C p j G A Y v 1 i 0 s W x D T L B A W 2 9 v b R D R B P B Y h X 3 G + n y 0 U N E W S P S r k q Q m K o m B V i + z u V 7 D V B K o C E + k c T 7 c T b J e j 6 J o E 0 7 F R c a W q E A L T t K n Z J / 8 7 7 x v K 3 3 3 3 8 I P 5 t F r m K t W q 1 U A o m g h 0 H J m 6 E o K b Q 4 7 d V C y V q J T L 9 P T 0 N F / m 4 9 W r W c 6 d G 2 + x r T w 4 x N h i / v U C V 6 9 c P p F a V S q V e P l y l q 6 u T o a G B o 8 l o h C C h w 8 f M z 4 + S j a b b T g n p a R a q 7 G 1 u U W x W G R k d I R U k 1 P D s i y + + e Y 7 P v v s Z + A O 7 m b p b t t O / G O 1 W s U w D I d w O 7 s M D w + h a R q G Y b B 3 U C E f n i a a 6 k Z V 4 L c X T i 8 9 C o U i V V s l m U i A V W Z t M 8 e C e R 6 A k C y T i E c Z y V p 0 R g 0 2 N z f J Z D I 8 3 S g 0 v 8 2 Z x Q d D q H B m n I q R w D Q d R 8 S b S C d N h T 8 / X x 8 E m 5 u b Z L P Z I y d u H z 9 + z O X L l 4 9 V l S q V C n f u 3 O X G z e u k D i G V l J L 1 j Q 3 W V t e 5 d u 0 K 4 U D O 0 3 E 4 O D j g u + / u 8 N v f / u Z Q u 8 2 y L B a X l t j Z 2 W V m Z t r P B B Z C 8 M 0 3 3 / K L X 3 x + 7 P c 4 D o / X w 2 w U n L / / y Y h B h y v p T 4 N 8 P s / B w Q G d n Z 2 U y 2 X 0 1 C C P 1 k L Y 0 k k B k V I S U i 0 + G y 5 i m i b F m s 1 S / s O o o P R B T O y q e g h T p F p c 5 M 1 o d 8 y H l I y p z 1 l Z W W F x a Y n v b n / P 1 t Z 2 W 7 s p C N N w 4 v m O Q y w W 4 9 a t m z x 7 + o z 7 D x 6 w G c j E l V J S q 9 W 4 e / c + u q 7 z 6 a e 3 T k U m A C E l k U j 4 U D L h R k V M T k x w 6 + Y N 9 v f 2 u H 3 7 D o u L S 3 x 3 + w 6 a p j u Z s z 8 Q E 1 1 1 L 9 + z j V D L p O 1 J 0 N H R w f D w M J V K l f X 1 D b o T g j + / U G t I 3 D R t l W d b E U q l E j F d I a S 7 R T r O e F P + 7 v b Z l 1 D h 9 D n K t d i h N S G a t 9 s h t 7 n E l 9 M R u j N R p J t K c B x s 2 + b Z s + e n q h M h h K B Y L P H k y R O m p i 5 w c F C g X K 6 g q g o j I 8 M n U g n b o V A o k M v l G B s b a z 5 1 K E z T Z H l p m V K p z M V L M 4 e q r a f F 7 2 c j W M K 5 H 9 m Y Y K L L o j N + e k m F e 7 / y + T 2 6 u 7 u w B f x + N g q K q 4 Z a F p H i M 6 5 M d F I T K i s H 9 Z S R s 4 r D H 3 d n B K o e w b C d + Y n D 7 K a T I N M 1 Q D z l x O W d h E y 4 f 0 N K e W I y 4 T o S Y r E o X V 1 d L K + s Y N k W M z N T X L w 4 8 8 Z k w h 1 4 x 0 n T Z o R C I f o H B h B S v j U y A f S n 6 + T Z q 6 j c X w 2 f K O a v H V R V Z X t 7 G 1 y V P K z j S z 1 F U a j E p w i H I 8 R 0 h b D 2 Z n / j X e L M B 8 f G O q e w r M M n b z k h u T Q 9 R D Z 6 u q e o E O J I + + o w h E I h p q Y u E I v G 6 O n u P t b p c B J I N / 7 t t F B V B e l K 9 L e F m V 4 T V Q F P + x Q S 7 i y f T o U N w j A M v w / r I U 7 1 M f D 1 Y h R F g Z F 0 u G V 8 n L W m t h 4 6 W 6 1 U q r t Q P Z y E Q M 3 Q l O O z c 5 v x J l L B g 5 S S S q X y R o R s h 2 K x d K T 9 d B i 8 S d M 3 u W d H 4 d e T V d T q j k 9 W 0 1 Y O L S I T h G V Z G I Z B r V Z j d 3 e X F y 9 e + i n 1 V Z O W Q F x F A U u o G L a K b c u W 8 X H W 2 p l 2 S k S 7 L z Z E S r c b F O 2 O t U M i k H l 7 U g g h T k 1 C D 1 I 6 R R X e l J B B V K p V l p a W / c n l 0 0 B R F G z R + E D 6 o b B t m + d P n x A p P C W s 1 R n w c D 1 M 2 X D I a 5 q t I U o r K 6 v M z s 6 y 8 H q B h d c L z M + / Z n R 0 h A s X L g B O t V 1 N q f e T o i g o i o q i w J N N R 6 0 c S Z 3 t a P T j H y n v E d W q 1 q L q B Q l 0 U j I B p J u C M k + C c r l M u f x m 7 t p K p U I q m X w j N S 0 I w z D 4 / s 7 3 X L w 4 T S K R a D 5 9 L F R V x T C a Q r 1 / I P L 5 P P F 4 n J / / / B O u D N X v q y 3 g m 8 U I p i 3 4 w x / + y D / 9 6 W u + / f Y 2 s 6 9 m K R Q K b G 1 t c e H C B a a m p 5 i e m e b y 5 Y s N f b h f U R u j 2 v 2 n m U L J 0 H i 0 H k a R b + / B 8 G P g z N p Q 4 d T o s b b T S a E p N l 3 K O s s r K y w v r 5 z o v a S U x O N x d P 1 k h J D u 5 K h h O B O S y 0 v L f n m t N 4 W U k m f P X n D x 4 k x D C a + T Y n t 7 h 7 / / b / 8 d o 9 Y q L X 4 I h B B 0 d 3 e h a R p d c U E 8 4 O 4 W E v 7 r Q 4 v e 3 h 6 + / O J z r l 6 9 z O D Q I G t r 6 2 S y m Y Y H T D y e 8 O t S S G C 7 V C e U 9 J x B g S Z R s C V 0 R W g Z L 2 e l K f / t z u P j R 9 d 7 g J a + T L l s + v Z T O 1 J J K Y m H J R V D O b L e X L z w g H O D a d L p D I u L i y Q S c c b G x i g W i + i 6 7 k c G C C E Q 0 g n Q 1 F S N S q V C T 0 9 P 2 y h t w z D I 5 / P U a g Y H B w f Y t s C 2 L T R N J 5 V K 0 t n Z 0 R L V c F q s r 6 + z t 7 / P z P T 0 q Y l p 2 z Z P n j z 1 g 3 p P + / q j c P v 2 H a 5 d u + r b h 7 t l l X s r Y b + M g L B t f n 2 u 0 O J N 9 U k S g B C C l b U t 8 s o o 2 6 4 N F r T 5 p L C x b Q v L M r E t E 0 W Y f D p c Y t U N g z p r U P 7 + + 7 N H K D W U w F B H W 2 p E B A n l b X u d e B Q + H y m Q j D m 2 j G 3 b 3 L / / g K m p C y w s L G K Z F t m O D O F w x I / H U 1 X V b 8 2 B p 4 Z h 8 O L F S 2 q 1 G o O D A 8 z O v W Z m Z o p M O k 0 4 H G 4 Z M G + K W s 3 g m 2 + / 5 c s v f v F G L u / 9 / Q M e P n z I F 1 / 8 4 g e r n c 2 4 / d 0 d b n 1 y k 5 2 d X T o 7 O 1 A U h R c 7 E T Y L z m o k m g o / G 6 k 1 V I w 6 D B s H G v e X B H q 4 0 X m j K I 5 3 U u L M R 9 k u o W z b 5 L P h I j u G i i H f z r 1 + m 9 D + 8 j / + 3 2 c u O D a c m a R a d V S o d m Q 6 K R T F q Z E w H N C W V F U l G o 3 w 8 O E j b t 2 6 6 S c R p t M p I p E I o V A I X d d 9 Y g U J s r C w w H f f 3 e H 8 + f N c u H C e d D r t 1 l F I t + R H S S k p F A o s L i 7 x 6 u U s l u 0 U z W 9 H D u / 7 G a a J 4 u 6 v r 2 + w 8 H q B y c m J t q 8 5 C r Z t 8 / T Z c 8 b P j Z N u q l b 0 N q C q C n f u 3 K V Q O G B 1 b Z 3 7 9 x 5 g F d c 5 1 w 0 F 2 Y E t F M q m y k D 6 6 I h 0 6 e Z b F c x D X O 7 u 7 Z S + h i K Q Q l A 1 J P 1 x k 5 J 4 u w + K t 4 E z K K E U Z P w S t Z q J Z T l h P 8 2 E O g 2 5 b g w a d C U c t d E j i G 3 b 3 L l z 1 w 8 W P Q 7 b W 9 s c F A 7 Y y + 9 z 8 9 a N B v d 1 p V L h 9 7 / / R 6 5 d u 8 r g 4 I B P q u X l F Y r F I k N D g 4 R C I Q 4 O C q y s r C K l o H B Q 4 M L U B b q 6 O i m V S s z P L 1 C p l L F M m 0 w 2 T S g U J p V K k k o l W V h Y Z P L 8 p J + a f x J Y l s W 3 3 3 7 H 1 a t X S L v x f G 8 T K y s r x O N x w p E I M V e t k 1 K y u b l F t V Y l H 5 q h Z C j 8 8 l x r k V B c 5 8 X d 1 T A H 7 l p a R 0 F K g b C d g G h H Q l k o w u D W Q J E t + + 1 M S b x N a H / 5 H / / q r 5 s N q / f a 1 D A W 2 Q b p 9 E O w s 7 n E y u x D f v / 7 f 8 Q w D N 9 R s L C w y O D g w L H q U L F Y d J P 6 N C 5 d u t h y f S g U I p P N 8 O r V L E b N I B 6 P I 6 V k e W W F y c k J k s k k o V C I R C J B J B K m v 7 + P 8 f E x K t U K 8 / O v O d g / 4 P K V S 5 y b m G B y c o K u r m 4 6 O r L 0 9 P Q Q i 8 X 4 7 r v b l M s V e n t 7 T i y p S s U S C 4 t L p F L J t 0 4 o I Q S P H z 9 l f H y c e C z W o B 6 n 0 y k K h Q J R e 5 d d q 5 u Y L h u 8 q y V D 4 f V u i M c b I S p m G 6 a 1 h f t A F d J J k x c C y x a k I h Z S 1 T h r M 1 P K P 9 x 9 8 s N G 7 F u G n r l E s d i Y o t F M q u b 9 w 6 B g 0 1 G + T z w a I h T S M A y T 7 u 5 u I p E w G x u b T q p 5 N k u l U k F K 2 R I a J K X k 5 a t X 9 P X 2 H u t g K J V K 3 L 7 9 P Y l 4 n G g s R i a T Y v Q t 1 N l b W V n j 6 d O n T E 9 P M T Z 2 s v e T U l I s F n l w / y G f / + K z E x O x G Z V K h V w u T z g c 9 r O Z 5 + b m M Q y T q a n z L Q 8 X D y s r q 5 Q N y V Y t y 7 V z a S w B s 9 s 6 B 7 W T k q g O R 0 I 5 j g n H j r K w L Y O u W J W x T J W c c v q p h B 8 T p / + G P z I M w 3 k K H k a a w 4 6 3 h R S Y t T L r G + u A y l 5 + j 5 W V F Z a W V 9 j Y 3 O D u 3 f v 8 3 d / 9 A / f u P W B + v n H Z S i E E / / S n r 0 D i J 7 0 d B t M 0 n f A Z J J e u X K J W q x 7 7 m p O g X C 5 j 2 y a Z T B r D M E / 8 3 R V F I Z l M U i q X y e f z z a d P j P n 5 1 + T z e V 6 8 e A l e y b N C g e n p C y i q x u 2 l 9 r b P 4 O A A S 3 M v S K p l v l s K c 3 c l / E Z k A t f Q 8 l F f F n K z o J 3 4 f r x L a P / u P / 7 V m X F K a K E o h s g 0 u M p / C K S U l L R + r l 6 c I K p b F A o H 3 L x 5 g 7 6 + X n p 7 e + n v 7 2 N m Z o q + v j 7 m 5 u b 9 R a i l O 6 e U z + e 5 c s X J h b I s J 3 v 1 4 O C A t b U 1 9 v f 2 e f T 4 C f n c H k + f P i O b z T I 5 O U k i E c c w L R Q U k s k 3 f 3 o K I X j 0 6 D G d n Z 1 0 9 / R Q r V b o 7 D x Z C r t p m i y 8 X s Q w D f L 5 f Y a G B v 3 X e f f 0 J O 8 T j U b d Y p Q w N D R I q V R y p X w X i g K 9 S b u t j V Q s F o n G E u z L T q p 2 C O W E I V O j H T b 7 g Q W 3 A f B t a M c h 4 f 0 W 0 q Y j a l K R I b Q z F D R 7 p i Z 2 l e h I C 5 F + C K k U V S c U i Z H f L 1 I q l b h x 4 7 r v U I j F Y m T c y k K h k E 4 i H q d S q V A o F H n + / C V r a + v 0 9 f X 5 A 2 9 7 a 5 v C Q Y F w O E w 2 m 6 W r u 4 t Y L E Y 0 E u H C h f M M D A y Q S D i h Q b V a j U q l 3 P B Z T o t S q U S p W P L D j d b X N 9 n f P 7 5 U s R C C 1 d V V b G H z y S e 3 S K W S b G x s g u t K f / L 0 K Y 8 f P 2 k I R f L u s W l a l E o l h H B q x M / P z d P f 3 0 8 6 k 2 Z j Y 4 O H j 5 4 Q C 8 Q m e j U 5 m q H r O p u b 6 x Q W v i K q t U Z p K O 4 q i x 1 x w W e j 9 Z S M p X y b N 3 R u f 3 D D 3 V R 4 v h k i Z p V a x t H 7 b G d K Q g m 9 F 9 N q b z f x A 8 i 1 V w t x c S x N N O x 0 m G E Y W J b l 2 x a q q i K k 4 O G D R + z m d g m F d C z L Z H N r m 0 w m T a V S Y X V 1 n U Q y w e D g A M l k k m g 0 i q a p F I t F K p U K y W S C S C S C Y R i 8 n l / g / P n J N 7 Z d b N v m + f M X D A 0 P 8 c 0 3 3 w K Q T i f R d a 2 l a H 8 Q 0 l 1 m J 7 e b Y 3 p m i k g k Q j K Z 5 N 7 d B x Q K R V Z W V j k 3 P k 6 t V n N J Y 7 G w u E S 5 V G Y 3 l 2 N h Y Y H d X I 6 9 X J 5 C s U g 4 E m Z k Z J j O j g 7 H M a O p X L h w / t g g 3 V A o R G 9 v D 6 V S k e s X u i m Z O r Z Q u N x v M t 5 p c a H H 4 l y X x V D G J q L D 6 r 6 G 7 e Z X t Y O U 7 p j w b G o 3 N t G y B M M p A 1 M / W T r O u 4 D 2 7 / 7 T X 5 2 Z M m K 2 1 o N l v R 1 1 L w h V V V n Z 0 + l N C h Z f v + L R o 8 d s 7 + w 0 e M 4 K h Q L n J s 4 x N X W B v r 4 + e n t 7 C Y d D v H o 1 S z q d Z n N z y 1 F z e n v 9 9 9 3 d z b G + s c H g Q D + W b R O P x 3 n 2 7 D k T E + e O H P j H I Z / P U y g U G B 0 d w b I s + v r 6 G B s b a + u x s y y L Y r H I 5 u Y W z 5 4 9 p 1 w u c + P m 9 Y a g 3 N e v X / P z z 3 / O 6 M g w i U S c b D b D 7 m 6 O U q m M a d R Y W 9 9 E S s m 5 c + O M j 4 0 R i z t F a f r 7 n X W f V F W l X C 6 T y + U Z H z 9 Z g q O m a c T j M Y q F A y 4 M x h n r t E l E n E p K q h t N 5 G E x p 2 O 3 m 6 R 1 x 4 B D q K D K 5 4 4 R Y T O U M T D 0 W M t Y e l 9 N + / f / 6 a / + u s 3 x d 9 7 C i Q F q Z g j b r k u o t 6 X 6 e T A K 6 0 R U g 1 u 3 b h K N R C i V n G U q A T Y 2 N i g W i g 0 1 x p P J J I O D g y S T S S K R C O V K h d 6 e H g x b Q V O d C c 5 S s U Q i k W B 3 N 0 c 6 n a J S q T T M R 5 0 W l W q V u b l 5 e n t 7 6 e j o o K M j y 9 r a G n t 7 e 2 1 t q N 3 d X R 4 + f M z Q 0 C D D w 0 O M j I w 0 S E Y h B L l 8 n r X V d b q 7 u w i F Q q h u N a X O z g 5 6 e 3 s Z H x t l Y K C f m O s G j 0 Q i / r b 3 H r q u U 6 l W 6 e u r P 1 C O Q z Q a Z X 1 9 k 3 A 4 R C h 0 e B T J 6 5 y O a E M o l 0 7 t b S i X U N s F S E R V Q q G z k T h x Z m w o 0 w I h W o n 0 N l E V Y S Y m z j l h L c D T p 8 9 4 9 W o W K S W 5 / B 6 F Y m v 9 c m 9 Q J R J x / 4 k Z 1 i T z u z o 1 E c Y 0 L W e e K R 7 H N E 2 S y c S x K t F R 2 N 3 Z p b + / j 4 G B f n B X q Z i e n i a f 3 2 P / 4 I B i s U i 5 X G b / 4 I C n z 5 6 z s r L K 9 M w U 3 d 3 d J B K J l m D e U C j E J 5 / c I p v N 8 P X X 3 7 K 9 f f r F D + Z f L / D w 4 S M y m V Y J e R w m J s + x s 7 P L w 4 c P y e f z D b a b B 2 c u q R 0 O G w v 1 Y 5 a A l F p p G U / v q 7 1 5 z 7 9 l K K H s I T f v 7 U F E e v y n p K a q 9 P f 3 U y 5 X W F t b Y 2 t r i 8 u X L z a / x M f z 5 y 8 Y H h 4 C o G w q J M O S l x v S D 1 e K R C J U K 1 W q 1 d P X P T A t J 2 b R M A z m 5 + d b J J G q q i g o f P 3 1 N z x + / I T 7 9 x + y u r J G Z 0 e W 6 e k p + v u O X r B M 1 3 W m p 6 f 4 4 o v P e f H y J d X A c p 7 H Q U r J X j 5 P O p 2 m L 6 D u n h S a q n L u 3 D h X r l x m f 3 + f R 4 8 e s 7 W 1 R a F Q d 7 D Y r R y r Q z r / O U M j O D 4 k o D h h T h X r 2 I i L d 4 U z Q y j b d j r v x y R V 2 V B 4 u R 2 i Z h g s L C w x N X U e y 7 Z 4 / P g p N 6 5 d a y k 0 6 c F L l v P U w 1 h I 0 p 2 s R 3 J 4 k r V c K Z 8 6 o X B 7 e 5 t v v / m O x 4 + f s L O z w 7 l z 4 y 1 Z v u V y m Z p R 4 8 s v f s F n n / 2 c L 7 7 4 n E u X Z u j v 7 y c e j x + q S g W h u A U y L 1 + 6 y L f f f E e h c L J a d 4 q i c O v W T U Z G h n n 5 8 t U b 5 1 b p u s 7 4 + D i X L l 1 E 1 z W W l 1 c B W t 3 k D X C + l 0 c m T w X 0 I N 2 W K 9 h v n A j 6 t n E m F M 9 Q L I 1 t v 3 2 b q R l C w u q e x l e P t r h 6 9 T L h c J h L F 2 e 4 e H E a 9 Z B Z f 4 B S q c z o 6 I i v y i n A y + 0 Q k b B K t W Z S r V Y c N a x Q x t Q y 7 J Y 0 K q b S / D Y N E E K w u L T E 4 u I S V 6 5 c I p F I M D + / w M D A Q M N 1 p m n y a n a O m Z l p 0 u n 0 i c h z F D o 6 O v j k k 5 t 8 d / v O i c n h 2 F w d j I 6 O 8 O r V H L a 7 B O i b I B Q K s b O b 4 9 I l R x t Y y B 1 + 3 8 G 9 2 R 5 c B j U P j Y q p U K u Z L e P q f b Q z U V P C t h 3 7 C Z d I P w a Z P N g S 7 O Q 4 r / e c M C N P K s 3 N z R + x B p R s m Q O a 7 j G Z 7 I + R 6 R l m M R / i Z W G A V T n D S i n L k w 2 d b x f D P N t s L 6 2 k l C w u L r G X 3 + P 6 9 e v u p P A E X 3 z x e Y u r P Z f L Y Z k m X V 2 t O V l v i m Q y y c D A A E + e P K V y i r V 9 s 9 k s y W S C 3 d 3 d 5 l M n x t b W N l N u y j t A v n w M o T x V z x 0 S n p z y j w P 7 V Q V h O U v t v O 9 2 J p w S U j a W B m 7 G Y c f f G I r O y r 7 G 4 3 V n w I + O j n L j x j U W F 5 e b r w S X d N v b 2 w 2 F I g + q K q 9 2 Q q z Z 4 1 Q i Y 8 Q z v U T j S Q w Z w r A V L K G w u q + x V 2 m v 0 u z t 7 T E x c Y 5 Q y C G Q o i h t n R m a r m M Y R 2 f c V i o V D g 4 O j r x P l U q F Y r H I 1 t Y W 9 + 7 f J 5 N J E 4 1 G e f T w 8 Z G v a 0 Z v b w 8 L C 4 s n V h m D M A w n e D i I I + 0 n l 0 B S e k T y P q d L K 0 9 a S d j d M 1 r G 1 f t o r T 3 4 H h B K D p y q U 9 8 W N g o a X y 1 E s I U z b 6 L r G t J 1 O i z k d O 6 t h v h 6 I c z v n 5 n k j Q Q 7 Z Z 3 v l s L 8 / c s o t 5 f D F N z 4 t K P U s I c u a T 3 Y E n b y B U y h H m q z B Z H N Z t F 1 7 V A 1 q 1 Q q 8 e j R Y 5 4 9 e 8 7 v f v c H 9 v f 3 / X L V h m H w 4 M F D 5 u d f 8 + D B Q x 4 + f M S r l 7 O c G x 9 H Q W F 7 e 4 f d X J 6 9 v X 1 q h k G l U j 2 S K M 5 k s C A c i f B q d r 6 t x 6 4 d h O v m t i y r I R x r / c C 5 3 8 f D k V A e e e o 2 l X N A S j D L h 2 k X 7 x b K 7 x 4 8 P 9 l 3 + j E R n 6 Z U e j v 5 T 2 + C i C 5 J C i c 8 p 6 j 2 U b M a C e J 9 n n Y S 5 D i E N I i H J O m o Y L + q c F B V s S 2 L k G r y 6 w s K x 5 W s k F I y N z e P p m m c O z f u H 7 d t G 0 3 T + O q r r x k f H 6 e / v 4 9 S q c S L l 6 + w T N N 3 b E Q i E T o 7 O 8 l k 6 h n F w e 9 R L p d 5 + v Q Z x W L J j W M U X L p 8 i c 4 O J x M X l x B S S l 9 F V F S V / T J 0 J l T 6 + n o Z H B z w 3 1 O 6 Z a e 9 + a 6 D g w I H h Q O 6 u 7 o w T b N h c v r b x Y i / L G s 7 1 C P N n W h z Y V s N U e e W Z W B b J p Z p E A 3 Z X L p 4 t L f z X U D 5 / R k g l B 2 d p l J 5 f 4 Q C s C w T p E Q P t Y + g f p t Q g E h I Y l g K v x h v r O n d D p V K h W f P n n P + / C S a p r G 4 u I R p m o T D Y d b X N / j 8 8 5 / 7 q p T t r q I h 3 Q D f S C T S Y p c 1 w 7 Z t b C H Q 3 A p J j x 8 / p a e n h 8 3 N D T K Z D L n d H K r u V K C a m Z 6 i s 7 O T + 8 u S s U y Z / d w O + f w e 0 9 M X 0 H W d 2 V e z V K s 1 y p U K 0 V i U 8 + c n y b a J v M + V V e 6 u H H 2 v h X C S C 4 V w S W W Z D q k s C 8 s 2 s U 3 T I Z V p g D S 5 e X 0 A 9 Q h t 4 V 1 A + f 2 D F 0 f 3 5 o 8 O B T N 8 g W r V a E g q f N e E e p d Q g F h Y U j Y U p n t N R r L t 1 b k g D g 4 O e P z 4 K R 0 d W T o 6 s i S T K c q V M q / d Z X S a b Z M f g l K p x N / + 7 d 9 z 6 9 Y N L M t i Y G A A T V M R Q j D / e o H L l y 6 y W d S Q U q E / Z Z H L 5 Z h 9 N c f 2 7 g 4 z 0 9 N M T k 6 w u L h I R 0 d H 2 z Q W I e F 3 s 9 E W b 1 0 Q U j q x e w 6 Z n H m 6 w y V U D W m b f H J j 6 M S r O v 5 Y O L 0 O 8 5 Y R 1 p W A s f n T g H T n x J C S 5 c 0 C t m 1 j m i b l c p l K p Y J p O t W e b N v G c n + n U i l G R 0 f Y 3 d 0 l m U y S T C Y I h 8 L o m k b 4 L V W n 9 R C N R o n F o g w N j 3 D + v J O S 4 h y L o S o K l U q F / p R g u + i U F O j q 6 u K z z 3 / O / / z P / o L J y U l M 0 6 R Q K L W N P Q S 4 v x o + k k w A S M d G 8 h + m 3 k P W b d I 1 p p x j j p f Y P q F N 9 2 P i v U s o V d W o q B M Y R r 1 k G E 1 S 6 W O T U B 5 s 2 y J d f k x E c d J G h B C k M 2 m E b b O 7 k y O Z S q H r K q C Q S i W p 1 W p o m s a 1 a 1 d R F I X H j 5 8 w M N D / V l 3 q u P f 7 m 2 9 v o 2 c n + N l M 4 7 r D B 4 U C + 3 v 7 j I w M Y 9 g K Y a 2 1 b 6 p u p d u p q b p 7 3 M P a v s b T Q 6 Y T P D g a i h e z 1 2 R D W X U p Z V k m t m m 4 k s r g 1 r V B w u G j 1 d s f G 2 d i Y p e P m D R B N K v 3 q q p x 4 8 o k V 6 5 c 5 s q V S w w M 9 H P j + j W u X 7 9 G L B 5 l b G y E k d E R r l 6 9 z N D Q I K q m M T D Q 7 8 Q i u k u K n s R T e F o U i i V W 9 z R m h u O U D a d m + Y N V h w S m 4 a j m u D G N h 6 P 1 3 O y O f i y Z P D S o / p 5 U C k g t 7 7 h 0 L q 5 L r e a x 9 Y 7 b e 5 / Y V U 9 Q V + 9 j Q X M 5 T s X Y 4 8 5 3 3 3 H n + 7 s 8 e v y U W C z m u u 9 1 h o c d e 2 B 7 c 5 u a Y Z D N Z r l x / Z q f P l K u V L B s m 3 B T P b s f i n K 5 z O 0 7 d / n t Z x d I J e P E w 5 J s T N C T d J I O V 1 Z W 6 e g 8 u g K T o i j Y T e v i r u x p L O R O K j 2 c 1 w Z J V S d R X f 3 z S e V t t x l f 7 7 q 9 9 4 l d G Q j b 9 2 5 K M 9 q l W X + I a P 4 e 4 V i K S 5 c v c u P 6 N X 7 + 8 0 / p 6 3 f c v q q q M j k 5 S S a T Y T e X Q 2 v j r r d M m 2 g 0 g n z L t b 6 X l 1 e 4 O D N F Z 4 e 7 n K i E i q n S n b S Z X 1 w h n c n 4 S 4 0 e B U + K 4 d Z / e L 5 1 c s n k k c a f f 3 L n m o J S y r u 2 k W y t 4 + t d t 9 a e O m O Q U h 4 7 m / 4 h I K J L L F t p O N a T V O j q 7 C Q e j x N 3 0 + m D 2 N j Y 4 P z 5 y b b J i r Z t 0 d X Z d a x L / D Q Q Q r C 2 s U N 3 V 6 d / 7 H V O 5 / 5 a i H + a j 3 D 3 1 Q G Z j s M X + A 7 C s p z o D i H h U d P k 9 u F w i e L t S Z w H h k s u h 1 M B Z 4 S v / h 3 + M H 7 X e O 8 2 l K 4 p J I / S W p o N j w 8 U N a t Z 4 Y O B z N H u 8 v 7 + f r a 3 d 1 h e X m k 4 L o S g W C z S 0 9 1 1 Z J T G a S G E p C K j G K Z F r V a j W j N 4 t W 5 R K N b c U m t g K Z G W 7 9 E M R V G w L O e 7 H V Y Z q R 3 a q X F B m 6 m B T F 5 a v J R + i n z z 2 H o f 7 b 1 L K E W B d O T w x Z S V 5 g M f G A 4 b 7 1 7 0 x F F I J p M M D Q 0 0 J A 1 a l s W j R 4 + d u u I B S f I 2 Y J o m a b 3 K 0 y d P + P t / + B 1 f f f U N a / M P W J u 7 x 8 b 8 A 4 z K A Y X t R a w 2 a z 8 F E Q q F 0 D S V h V 3 8 8 K y T w C d M E 4 k 8 0 i C d W u d S S k R A S j k k O / p e v i u 8 d x t K Q W G 0 4 + g n 9 Y e M g V T 7 7 1 Y 2 F f b b B M 5 a l s X c 3 D y 1 W g 3 T N N n f L z S E 9 S w u L a H r O t e u X a F o h V n d 0 9 6 a U + f F 3 D K R S I T h 4 W F 0 V e O T z 3 7 J 8 I V P G Z n + O Z O X f s Y / + x 8 / Q 9 M 0 v v 3 2 O 3 K 5 3 K G x f I q i k M z 2 8 W T l 8 A f l Y Z B 4 x V g c A j V I q z a S y i v c U r 8 J r W P s X b b 3 7 u U D S L i e J P 0 M 1 V d 7 W 1 g 7 a B + s p y j w c r t u / 0 g p 2 d j Y Y P b V H P P z r 7 l / / y F 3 7 9 5 j a W n Z n y A t l 8 s s L i x x 4 c J 5 d F 0 n G x X s V Z 0 V / n 4 o q t U a S 6 s 7 T E y c I 5 / P I a T A l j q R s I r q B g 4 n o i H G x 8 e 4 d e s m 6 2 s b v H j x k m q b 9 A 9 b w K I x T j h 6 y u g N 1 x b y J Z T 7 2 z W S f E n V T C 6 J c 6 x 5 b L 2 P 1 v q I f A 8 Q w u Z 6 f 5 m r / W + 2 W u C H C C m h Z K j + v I x t 2 z x 7 9 h x b 2 N y 4 c Y 2 x s R H G x 8 e 4 f H n G n 2 u S U p J M J Q m H 6 3 b J V M / p p U A 7 C G F j l b a 4 d / c e B w c F L l + + R E i X 3 B g y 6 E v Z f D Z m + D G H 8 X i c i 5 d m 6 O n p 5 v 7 9 h + z s N O Z H f b 0 Q A X c 5 z 5 M j I G Y 9 A g V q j L Q 2 r 2 i L d 5 1 4 q / b k m + K 9 O y W k 6 y Z G 2 n Q l G o s n 6 u p b 0 m X O K I R 0 I g e + W Y x g C 8 n U 1 A V M 0 6 S z s 5 P + / n 7 6 + v o Y G h r y V b 5 c L t c S s x c 6 c n L 1 5 I j H 4 3 T 3 9 n D r k 1 t c u H C e l d U 1 U h F J J i q 5 1 G e 2 / B 1 V V e n u 7 u b q 1 c t s b j p l y H D z x K p N 0 f q H o Z U k T Q 6 J I H k O / e 2 1 / 9 8 p A Y A t B L b 7 J F I U h U t 9 d Y P X O q L 4 4 c e E i g m / e 5 B n d m 6 x Z Z 0 p b 9 G E W q 3 G 5 u Y 2 g 2 4 1 p B 8 D 2 2 Y 3 h Z J T x u z m j e v + 8 e b 5 s y A i k Q h C C B Y W F r B t + / i U 9 h Y E 3 N / e b y H R 1 W b V z i V N o J S Y l M 6 K H N I l o n 5 E G Y N 3 B d V x C 7 y / H y E k 0 j Z R N S e J r j t h k Y 2 1 N 3 Y / V t h C Q Y n 3 o A z 8 k q G h Q V 6 8 e M n s 7 C x P n j 7 j z p 3 v 2 d r a 4 v 6 9 B w w N D Z I 9 x T p R p 0 V v Z 5 q n z 1 4 x M X G O W O x k 1 V h 1 X e f y 5 U v Y t u D x i 0 W 2 i 0 e w r x 2 8 O S R n k s m X O K a N 6 x p v J J a Q o k E V x C W X o t S r Q 7 3 P n 1 N + + x 8 H i h Y i p I e o V a s o C n w y b K C f i U / 2 7 q C F Y t R E i D 9 8 + 5 T V 1 T V m Z + c x D Y v h 4 S G e P n 3 O x O Q 5 B g b 6 f 9 R 8 n 5 r Q G J 2 + R U / P y S Z v P a i q y u j 4 B N u M 8 U a x q R K k d N Y 3 9 i S V E M J 3 j f u k 8 m w m j 2 h C u B W n B L F o 6 L 2 n b n A W b C g U q B g m K A q x e J x K u U K l U i I d O X q u 4 2 O E o k A t c Y F o N M p v f v N r L l 6 c o r + / n 1 / 9 6 k s 6 O z v d F H Q n Z + z H Q E + 0 z O 5 u / t i J 2 3 Z Q V Q X 0 R E u 2 8 3 H w / p a n t j n E k a g 0 q n Z 1 M n m S q k 4 s I Q S q 2 j q u 3 k c 7 E 3 K g a p g I Y a O q K t F Y j H A o T G d C a b 7 s J w A F y 5 b k 9 k v c v / e A B w 8 e c u / u f c e F / v 0 9 7 n 5 / j z t 3 7 r K 9 v d 3 8 w r e C R D J J o V T m T e 5 8 y V C P n a h 2 U J + M r d t P Q d X O 2 b Z E 8 1 y T R z D b 2 X f r V D j p + Y J Y 7 O Q R G T 8 m l D 8 + m X u T B 9 J b R W c i w n h n H B S F w v 4 + E s l + y e L J X t 0 A / 7 G e y m c N Q g g 6 Y z V u D r c f n M V S i V c v Z / n k k 5 s N z o t a r Y a U E k 3 T T l 1 s 0 0 O x V O H / + f 0 j f v P F T f o 7 T v c e E v h m I U L J O J q O w X 7 0 y O L Y R T b C t h H + Q g A W U t i Y l n P c y Y G y s G 0 3 D 8 q t J W G Z B r Z V 4 + q V M Q Y H G 3 O 3 3 g f e + 8 S u g j O z L l w v X z K d J h Q O E 0 2 9 3 b C a D w W q q r J X i 1 G x n Z X o m 1 s i H q d Y K v r V b H E T + u 7 d e 8 D X X 3 / L 7 T v f s 7 C w Q C 5 3 + p U L k 4 k Y M 1 O T 3 H 8 y 2 3 z q W C h A K t L + I X A o X K n j x e X V b S a J E G C 5 x U + F q 9 Y J W Z d O f n P V w n g s 3 D q u 3 k M 7 E y p f r u j M t h u 1 G v n 8 L q V C A e N g r f m y n w x C m m S r 0 N 4 F r G k a o y P D L C w u U q 0 6 Q a s 7 O 7 t 0 d n b w y 1 9 9 y d U r V w i H w z x 9 + u z Q 0 K C j M D W S o V g s U K 1 W e b Y Z Y n 2 / / e d o B 1 s q K M 0 H D 0 O A P J 6 k q g e 8 C q S 0 6 z a U T x y X d K 5 U 8 y Q b U p B I n j I q 4 0 f C m X B K o D i R A q q m 0 d n Z T S K Z I p w e b P 6 s P x m Y t l M k 0 y 2 m 2 w B F U R g d H a V a q f H w 4 U O e P n 3 G x u Y m n Z 0 d h H S d V C p J l 1 u y 6 z Q o l 8 s s L i 6 x + H o W w 5 Q 8 e b n M u U w B S 0 K + f L L n r h J w M r S H 7 4 K o e / R 8 G 8 k j l 2 c b 1 f d 9 Y n m q o R R I u 2 5 H a Z p C K K S 1 j K n 3 0 d 5 7 c K z X K p Y T / g K g 6 R r r e 0 d 3 z c e O m u V U n 2 0 H Z + 7 n I r d u 3 e T m z R v c u n m j Y V 0 r V V V b l r U 5 C t V q l T 9 9 / w I 9 F G J w c J D / 6 Z e X i M U i 3 L 1 7 D z M 3 S 1 Q 5 W R H J k H a 0 R P T M p 8 a Q I s 8 9 7 h D G c z J 4 J H L s K f e 8 v + 9 J J 6 e l M w k 3 z K l 1 X L 3 r d r J H z z t A 1 b L R N L c s M Q q G O B t e m / e F w b R 9 Z M 0 G L 1 V e d V c Y D E I I g W U 5 X t O T Y O 7 1 E m r m P E O D A 2 Q y a b o 7 U l y 6 M M q n n 3 5 C O B z m b / 7 m b / n j H / / E s + c v m l / a g I p 5 / N + T U h A P 2 S C d u S Z f 8 g R W M f E I 5 0 k x x 1 H h X u + / z k Y I p 2 Z f I n Z U Q t 2 7 x f F 3 4 B 1 h d c 8 p n 4 V b z 9 s 0 z Q Y v 1 l k I f H y X 2 C m p b V W + k 0 D X d b q 7 u 9 j b 2 2 8 + 1 R Y D f d 1 0 W H P N h w m H w w w P D 3 H l y i X i y Q w 7 j B 1 p l 3 X F K l Q P N p o P N 7 j K p Z Q U a 1 4 1 W l f V 8 8 k S V O 0 C z Z N Y r s r n S S r v N e c v j D T / w f c G V X H X O z 0 L 7 e B g 3 + 8 w R f 9 p S y j D V l g 7 h U M g C E 3 T G B k Z Z m l p C S k l p m k e u X S N l J J M p j X N 3 k M q l S I c 0 r B p D Y P w 6 g f u 7 e 1 R 3 H h x q L R w 5 m 2 D k s c l U 4 u d 5 E Z J u G S p S y f H n W 4 L G y E d 9 7 o U A k U K o r F I y 1 h 6 X + 3 M S C i A W D L j E + q 0 M + 4 f I x b y r Q P 4 p K j V a u R y O W 5 / d 4 c / / e l r v v / + H i u r q 6 y s r L Z I m Z 2 d X T q O i B G c m 5 t j Y m K c v b 1 9 H j 9 + y o s X L 9 n f 3 2 d r a 5 t v v 7 3 N N 9 9 8 R 6 l U Z m x i C i K t 7 + O Q K S h 5 J A o C F Y c w d U n k E M e 7 V n i 2 U r P E E t 5 8 l U 0 8 H j 4 T I U c e z o x T A h R s W 7 C z v Y W U k n j Y 0 X d + y m r f D y l O k 0 6 n + d n P P u X K 1 c t c v 3 4 V K S V 7 e 3 v M z 8 + z t b X F 3 t 4 + v / v v f 6 B c L n N w U C A e j z c U G g 1 C C E k 4 H M E u b R G N x e n r 6 2 V u b p 5 Q S O f W r R t 8 + e U v G B o a J B n T f c e D h 7 o U C q h 1 U t A T t w L z T 3 X J 5 J A n Y F 8 J T 0 r V y S d s l 1 S 2 T U d n q m U c v c 9 2 p i T U 6 7 0 a o X C Y c q l E d / z t J M 5 9 q F A U S E X e 0 I h y 1 7 R K J B L E 4 3 F M 0 6 K n p 5 s r l y / z y S e f U K s Z T k W l C 5 M 8 f v S E r q 5 O 7 j 9 4 y B / + 8 M e W R e c q 1 S o S y f p O E W k b T F 2 Y I J v N c u v W T T o 6 O o h G 6 1 H p r V q F Q y Q F N / o h 4 H B I h G 2 i u i e N A p L J V e 8 8 O 8 m T T h 6 h 6 k 0 g p c 3 1 G 4 e v i / w + c K Z s K M U N w Q + F w 2 T C 1 W N n N T 5 W q A r 0 J W 1 m e k 8 3 l + R B S k m x W K R Q K H B w c E A + l / O L 9 i c S c c b G R p m Z m W Z 4 e I h r 1 6 + y s b H J Q H 8 f f X 2 9 L Z 7 B p c U l r l 2 9 g h Y K k 4 h o y G Y R F I B h O U m T H j x 3 t 7 A D d p I U Z K M m A 2 m T k B o g k D s f 5 R F L u B O 7 T j i S p + Y 5 w c H C l U 7 x W B h d d 0 o A n J V 2 p i Q U w L b h L J s S 1 W y 8 E h M / N b W v I + 6 Q y V N 7 T w v T N P m n f / q K 3 d 1 d 9 v b 2 S C Q T p F L O E q h B K O 5 C 1 t e v X 2 V 9 f Z P d 3 V x D n T / T N C m V S i Q S C b q S G v t l k 4 O D x q V R g x D U + 8 a T P N K f M 3 I k k 4 r g a n 8 N 6 T k Y h O 2 r e A 2 S K e D J 8 6 S S 4 + H z J J T F h Q u j D X / / L O B M 2 V C g Y A r F c Z m r K r r S q s 9 / 7 F A A I Y 5 f i O 0 o S C l J p 1 O M j 4 8 z O j r K 8 P D w k T X Q E 4 k E P / v Z J / z q V 1 8 S i U S Q 7 q J p 6 2 v r 7 O z s 8 v r 1 A q u r q 3 Q P z / D 9 g 2 c N S 6 M G 4 U / c B l U 3 X 8 1 z p M x U t + G s l G F L D C v o 4 X P t p K C K Z 3 s 2 U 6 t 0 k r b N w F B v y / h 5 3 + 3 M S S h L S A y 3 I P 3 V / o r / p P u p Q A L n u t o P 2 J N C S o m u n y 5 a X N M c d W 5 9 f Y M n T 5 7 y 6 t U r M t k M v / n N r 5 3 A X B V u D V X o y i Y o l c r N L w d g s 6 C 2 k s m N u d M U m / N d B p 0 J Z 7 n S l 9 s q x a q 3 q J p D G F V p d E J 4 r 3 W k l D O J K 9 x 1 o p L J K P H 4 y b K K 3 y X O H K E A D m Q Y 2 x b Y 1 T x S e K V 4 6 / i Y 1 b 6 O u C A d / W E P E C H E i V P Y P V i W x e 7 u L k t L S / S N X O D i p S s k U l l C o T D n z 0 9 S K B S J x W L o m t a w T q 4 H w 4 K V P d U N Y H X V P T e S v D d h c r m 3 R m / S Q r r r O G 0 X w H L j 8 T w p Z V k B M r m q n W 0 7 a R z C T + N w j k 9 N j T V / h D O B M + e U U B Q o W W C a B u F I z M 1 Q F T 8 Z B 0 X J U H 5 w t S c p Z U t 1 p K O Q y + V 4 8 P A R K y u r F M o 1 H r z a Z n H b W V Z U U c A w T b a 2 t 8 n n 8 4 4 k a X J c S C n 5 0 + s w t u 3 V f K i 7 v 3 8 x V m G 6 x y A V t Q H H b j I s Q c 2 U v m T y m m N T B a S U q 9 p 5 N p R n O 4 V 1 l f G J 4 Z Z x c x b a m Z R Q A C X T q S 0 w l q 2 5 4 r / x / M c q p Q 6 r N H s a e O r S c Z A S i q U q T 1 4 s c v 3 a V a 5 f v 8 Z n n 9 7 k 5 r k o u 0 v 3 u f f 9 H f L 5 P O F Q i N 6 e H l 6 + f M X l y 5 c a 7 r 1 h w R / n w p h W 3 d 3 t k W k k W 3 P U O M 8 u c m 2 i R 2 t a P W r c b b 6 9 5 J O p L q 3 q t p O F t G 2 6 e 7 J o R 5 V i e o 8 4 c 0 4 J r + 3 L C L Z l k 1 C L / s 3 8 K U g p y z I o l U r s 7 u 5 S K B T e y H 6 M x + M Y h s n c 3 J x L L s f D F o S U k s c v X v O n + 4 t M T U / 5 g b Z e + s c n n 9 y i r 6 8 X X d d R F I U L F 8 4 z N D j k k 2 m v o n B n K c Q f Z s N U T S d T w F P z H L X P Z i B l + S T x J o 2 F E B y U 6 x O 3 I u h 8 8 F S 9 Q O a u 1 / e e 7 S S E x a 1 P L 7 e M l 7 P S l K 9 f L J 6 + x 9 4 R e r U q Q k h u r 2 V Q N R 1 V c z p X V V R H v r o D 4 2 O B b V m k q s / p j F u E w x F M 0 y S f z 6 O g I J F u p z n w t s b G x 8 h m M 3 4 1 W c V d 3 b B S q f D i x U s s y y I U C l O t V u j v 7 6 e 7 u w v L s s n v F 5 H C 5 t z 4 6 K G h O 4 u L S 3 R 0 Z E m n 0 w 3 3 e S G n M 7 u j B w h U t 5 k 8 h 4 S C 4 I v x C k i B b d f V u v k d h c U c v s S y g w S y L a c O Y W B x 6 n q 6 e w 3 b N N B U y b / 8 V 3 / R 8 D n P E s 4 0 o R Q k K S P H i 7 0 e q i K E q u q o m o a q O I s l f 4 y k G k h Z X B 6 o e / m O + m 5 S S p a W l t n Z 2 X H T N R R y u T y V S h U F 2 D 8 4 Y H R 0 m K 6 u L i z b Z n V l l Z 6 e H n p 7 e 1 A 1 j f G x o + d x l p a W 6 O / v J x w O + 5 9 j O a / x Y j v k q m r B A i q B c C E p H E K N V X w i e V L q n + Z D v r S y 7 Y D n T t j Y P p n s B j L Z l o F l 1 r B M g 7 / 4 Z 7 + i o 7 N 1 Z f m z A u X r l 2 e X U A B J q 8 r D 9 S g o j o R S N Q 1 F 1 V B V z V c / j h p 0 H y J + N l o j 0 8 b T V z I U I r p E c x X 1 I K S U V K t V H j 5 8 x P T 0 F J F o l E g 4 z O L i E n 1 9 v c T j c X Z 3 d 5 m b e 8 2 n n 9 5 q c S w 0 o 1 K p 8 O r V L N e u X Q X 3 / R d z G q 9 8 y V Q n k 1 c b L 7 i v K z a f j d Y J Z Q u b + W 2 V 5 b z S Q C I h b B R p Y Z j e w t Q u m W w L 2 / T I 5 C x M r S k 2 / / u / / u f N H / V M 4 b 1 X j j 3 u p 6 R G s L x V w I V z w z 2 X 6 s d G J A 8 P V s N Y b X w K 8 b B E U 1 r J h K v q G Y Z B J p 0 m m 8 0 S i 0 Z R V Z V z 5 8 Z 9 j 1 9 H R w e 6 r p H L 5 Y + 9 d 1 J K F E V F S o k t J L e X Q r z a 1 p 1 J W l d d c 8 h S J 5 M 3 Z y S l Y D h r O O e l 5 9 m T r O y 5 Z P K b Y y M Z Z t 0 B I W z L V Q O d / r Z t C 1 t Y C N v k z / 7 8 s 5 b x c d Z + j n 5 M n Q W o K p 1 R w 1 U J P F 0 7 + P t s r L r w N m H Y C k 8 2 W v P B F H w t t y 2 k l E Q C w a r N U F W V y 5 c v s b a 2 x s L C 4 q G k E k I w O z v H 4 G A / U k p 2 i w p 7 F c U h T H O a u p + z V H c y x D S T g a T p k M n t o 4 U d x S e Q / / r m v n T V v f q 2 0 4 R l E Q n p 9 P W f r q L t + 8 D Z J x Q w 1 B v y U 5 5 t q 1 H v 9 j r o Y y P V d l G l Y p 7 u O 9 m 2 T U d H t v l w A y K R C J c u X a R c L p H f 2 2 s + D W 7 B l m Q y S U d H B 1 J K O m J O v J 1 0 v X C e 8 y H o C v c J J g Q 3 h 5 y p D o 9 M l i 1 Y 2 1 f c S d o 6 k T x 3 u B + f Z z t 9 X C e W s y 1 s k 5 u f X P k g + v j M V D 0 6 q h l a i F S c u h r g G q 9 O Z 7 i d 3 C a P 5 0 O G p s D s z u k S D C 3 L P t G g 0 3 W d g Y E B 8 r k 8 B w c H i M C 9 s y y L V 6 9 m 6 e r q q t t K v i R y V D x P l a t L q n p w 6 / m u A J l s J 3 d p f l v 1 y e Q 9 A L 3 A W G E 7 1 z r N s 6 H q X j 5 h m Q w M 9 n B + e q x l X J z F d u Z t K O 9 n q D + C l K 4 q I A K q g d s x 9 k d m U 9 k S N g s a + T b L h j b D t m 1 y u R y l U u l Y Z 4 O H b D Z L K p X k w Y N H 3 L 5 9 h y d P n j I 3 N 8 + z Z 8 + Z m D h H I p E I F E Z x i O C p a U F i 1 N U 4 h x y q 4 k k e 5 5 x l C 1 b 3 v N Q M p 3 n E q b / O k 0 Z u h V h h I S z T 1 U a s D 8 J 2 8 n 5 O d v f P A F R V Y S x d C d x 8 V 7 9 u 0 r s d S S U / m k n g J + u h Q 8 u J e T B N k + X l V b q 7 u 0 8 c c l Q q l d j a 2 m Z m Z o q b N 2 8 w N j a K r r v V a R O J g F S S m F a d D M J L B v S J 5 m X Q O v u 6 E i S a 4 M m 6 G i C T S z a P T A E C O S R 0 t Q / L 0 0 J M u j o 7 G l Z s P O v 4 Y A g F k O r v c b I / P Z U v q G t 7 k s p 2 F i i T g a I g H z I M W 6 F 2 T P C 5 c I N h 0 + k U 2 g k W H d v Y 2 G R l Z Z V L l y 7 S 1 d W F p m n E Y j F 6 e n q o V B r n j o S w e b X t R Z E H b S j n n L P v k c g m p D r 9 Y N k 2 c 9 s K u Z J D w D q Z X N X P s 6 E 8 a R V w Q t i W i W 0 b q I r k n / + v / 0 P z x z / T + K A I B T A 5 n k R K T 9 / 2 O i H Q M e 6 T T w q n 9 p v f P l D o q s S y j 5 Z Q Q k g i k f b V h p q x v b 2 N Y d S Y m Z k G n K g K z w a y b R v T c q M V h B P h U K x J 1 v e U V j X P t 6 n q x B O 2 4 M W G y q s t h W 8 X d F b 2 c B 0 O 9 X g 8 K U R A Z X d + O w R y F w O w T C z b R A q b v / j n v 2 3 + + G c e H 4 R T I t h i M Y 1 M S g u o f G a 9 Y 4 J 6 u N e B H 7 i U M m y F Q k 1 p P t y A S q V C t V Z r P t w A y 7 J 4 / v w F + f w e g 4 O D A W d D n V C q q h K L R p E S d o r w / b L G N 6 9 D m K 7 j o I F A / n y g N y f l t F x Z s r a n Y J h 1 7 5 2 j N d h I 3 6 l U l 0 h 1 U n m S y U T Y J m P j g 3 T 3 d r b 0 / 1 l v H 4 x T I v g z P p J G V Q T C N h s 6 x + s 4 5 2 n Z v O / p / R 8 e w d Y P j l b j a r U a G + s b 1 A K 1 9 3 Z 2 d n n 4 8 B G V S g X b t l l e X q G n p 5 u J i X P g q o l e s 2 0 b 0 z R Z W V l F S v j q d Y h 7 K x r 5 U v 2 6 u l v c s 4 E C k i k w B + U 9 y D y i O f 3 j 2 k v C x n L 7 y 2 t O 7 J 4 X Y u Q 0 X V X 4 z W + / a O n 3 D + H n g 1 P 5 w J n c v H q x y y W K 6 X e K 0 4 F u Z 7 k d 3 0 A q 3 1 v l k e r D c F 4 c V 0 G 2 W q 0 y M N B P s V A A 4 O C g w N r a G p O T k y w t L f H k 6 T O S y Q S Z T C b g 4 v Y I I F z p 9 R I h J P F 4 j J p h B p w O j Y R x 7 l + d W P 4 c k v s Q 8 7 c 9 m y l w z n v 4 O e c 8 t c + N 2 X N J J Y X F v / o 3 / 8 u J v Z V n D R / m p w Y 0 T a G v K + p 2 k O N i t W 1 P F w 8 Q K T C B 6 E u p 4 O R k g / P i m J H 7 n l A y 1 C M X M r M s C 0 3 T M E 2 T + f l 5 V l Z W u H T p I r F Y l P P n z 3 P p 4 k V / k r b R Z n J I U i 6 X k V J w U D h g Y c u g W n P S 1 I P 3 y 9 v 3 S O X P I 7 n n P Z V Q e n l M T d p B 3 c 7 1 V D v X d n I 9 e p 6 6 d + X q D J H I h + P V a 4 b y 3 d z K 2 R x F J 8 T C 4 h 5 b u 1 U 3 Y N Z Z p E x R d V R V Q 9 V U F M U p p q + o b p S 6 q q C 4 0 e r e b x T F n x A 9 y c T o u 4 a u S m b 6 L P r d 5 M N m l f X J k 6 f 0 D / S j q S q x W M x f w T B I o O O a Y R g Y l u D u W g L D c t I r m m 2 s u t o n G m P 4 h J s s 6 E k x 3 w E R k F S + j R t w R P g R 5 Q a 2 Z X D x 0 n m + / N X P H H v k A 8 W Z T T A 8 a R s Z z q C 6 r n S n g 1 y d 3 P Y m B j 0 d 3 j O C 3 X 1 h + 4 U / v I 7 3 B 8 w Z k 1 i W U J j f 1 b G F p F y u s L 6 + 4 Q 5 y p y m K Q j w W I 5 1 O o + s 6 Q s q G H K T m Z t s 2 + / v 7 2 A G 1 T 1 V V V g 8 i T m q 6 8 O q H B 9 Q 8 b 0 L X f d 8 G s g g 3 V d 2 T Q u 5 9 t W 3 H Z v L t W 9 d m a i W T S S Q c 4 u e / u O U G K 3 6 4 T b k 9 t 3 o 2 R s 0 P g C 0 k 3 9 9 b w R a q m 9 7 h S C p V 9 V I 9 V H f b k U i q 6 k g u R z q p T o K d 4 j o 8 X c m F 4 r y 3 Q j 3 v y o P S + N 8 7 g Z Q S y z T o s Z 6 Q i m n E 4 3 F C 4 T B 7 + T y g c O 7 c O K r q R I c 7 D Z y F z e q r X g g h y O V y b G 5 u E Y / H 0 T S N v r 4 + b C G 4 s x S m b H j X u w 8 V v + C K o x 4 7 D 5 0 m y d Q w w R u M o q h L J i E 8 1 7 h j M 3 k P P o d Y B u G Q y r / + y 3 9 B K H S 6 U K u z i I + C U A C 2 L f n 2 z p J D E E 1 3 S a W 6 6 l + d U I 7 a 5 6 6 p F F D 7 n G o 1 X h X S O s F Q F P + 3 R y C f R i c k V e P 1 D R s B K d j 8 P t L 7 5 + 9 L C S F V 8 O W 5 C q Z h I t 0 i K q F Q y C d Q s y o n J U 6 2 r 5 T s 7 O y Q y + X p 6 + t l a 3 u H 3 p 5 u w p E o 9 1 Z C F K o 0 S G e P J A 6 x A q Q K q H Z S u B V e P T V P B l z o H p F 8 7 c D 2 H Q + O z e R I J g X B v / l 3 / + L U V Z r O K j 4 a Q g F s b x d 4 O b s D X g K i 5 t p S q u Z k + n q S y f 3 t 7 A d t K s + e c o j l k K n Z v q o n J L l U a + J C M z G O g 3 v 7 2 / S C k / b u n X P 3 p G S q x 2 I o Y z a Q y D l 1 O J m E l F i W x Y v n L 4 h G Y w y P D K E q K g 9 W d S c 1 w y 3 X 5 p H K I U 5 A G j V I J u F H R w S 9 f 4 5 q 6 A X G 1 i f a H U d R 3 X F k u U G v S M G f / f Y X T E 1 P B L 7 1 h w 3 l 9 v z H Q y i A j Y 1 9 X s 3 t o v j q n k c m V 0 K 5 K q B H r H o 6 v U s q 1 S G Q p + r 5 R E N x N b 8 6 w X z p 5 e y 0 E u 0 Q + E S p H 2 h h l E e e x m 2 H J J o q + d W 5 e u 3 3 I I F a p Z Q n e b z r H M K Y t u S 7 x T C m H a j s 6 r 6 m X g o s m O I u / H W a g s T y 1 T 5 3 2 7 Z t Z C B 4 2 X d E B N U 8 2 w B h 8 + s / / w U z l 8 4 H v / Y H D + X 2 / N p H R S i A 5 e V d X i / m U B Q N R X O 8 f 6 r q q o J B r 1 / Q 4 x e w q x q k l U c g n 2 Q B S e V w q i 6 V G g j m w i N f M 1 y y + L v e / / 5 h j y D B 7 T q B M l G b m 0 N G g x Q 6 m l g e W S S r e y p z O 0 6 l W J 8 4 A b J 5 x 1 p t p q Z S y Z 6 j Q g g 3 j 6 n + u + 7 R 8 0 h U d 0 Z I Y f P 5 F 5 9 w / d Z l 7 w t + N P g o C Q W w s p J j 7 v U 2 K A 6 h F F V z b S p X a h 2 q / g X V v n b E c i W Q R x 6 f M J 4 E 8 x D Y q Q s v 8 C V O 4 E B g J 0 g c Z 9 / d l n W V T y I Z S l u c 7 3 Z K q 3 k k a i V W 4 J y U V E z J q 2 2 N f K k e w 9 d g N / n k a r W f H N I 4 q p 4 U A j s g l R y b y S O T K 5 n c y H F P z R P u P B N S 8 M U v f 8 a V 6 2 d r G Z q 3 B e X O R 0 o o g P X 1 P Z 6 / X A f F V f + 0 J g e F q r m k U l A V r a 7 u u W X K f G k V U P + C R P L l k X / M / 6 9 O o M M k F D 5 7 n M 3 g l s c h f 9 s j k 7 s t J X 0 p m + k e s 5 F Q L t m C p N o q K O T K K o U a l K s g v O u b 1 L x m 6 S Q 9 a R S 0 m 9 x j z r b n V v f c 5 R 6 x P A e E J 6 F M L N O J z 1 O Q / O a 3 X z J 9 c d L / t h 8 b l D u v P 1 5 C A a y u 7 P L 8 5 Y Z v U y m K k / P j u d P r x H K l 0 q G O i i C x c C V S s 6 r n S T A P T W R q E V N B B E k T 3 H c O S J 9 8 D n k i u i A e E l z u M z F t y f M t n a o J Z a M u f e p k c / e b y e N t B 9 U + n 0 h e U q C r 9 n l k 8 l z j 3 j y V 7 3 x w t r 2 5 P m 8 e 0 F H 3 T D R V 4 V d / 9 j k X r 1 z w v u B H C e X O 6 / W W r v 3 Y Y B g W f / r q O b b A V / / q d l S j O 9 2 T W M 3 2 V I v q B / 4 x f 9 v Z a p F W J 4 Y M u i s c 6 e T S y f 0 X / F 0 n W l 0 q e e / R T K D A N U I 4 5 9 t I q H Z q X r M D I r g d d J H 7 l Y p s T 8 1 z y C R s k 0 g k z P / x l / / b R + M a P w o / C U I B 2 L b g H / / x M a Z N Y M K 3 T q y 6 s y L g n P C k F c 6 2 L 5 V c O 6 p R Q t V F U 3 D b O 3 I 0 3 C 7 w f w X 3 2 0 s q 5 7 d L o i C B v G M B M t U l V X t 7 q X X f z c I N k M q 3 o X y b K U A o 3 z V e V / N s y 0 I K i 1 g s x r / 5 9 / / y o 5 i 0 P Q m U 7 3 8 i h A K w b J s X z 1 d Z X t 1 F U b y i m a 6 k U t w o C 1 / d C 6 p / d Y n l a H 1 B 9 a + N 2 t c g s V z 4 u 0 1 6 X 5 u 7 7 0 k i f 8 8 l T T s p 5 e + 3 U / G a 9 9 s S y D n m S 6 e g z e T b S 6 5 E c g n l h R v 5 0 s m V T E F V D 2 l z + e o M X / z y Z z 8 Z M g H 8 f 7 K 3 R u D U l r P Z A A A A A E l F T k S u Q m C C < / I m a g e > < / T o u r > < / T o u r s > < / V i s u a l i z a t i o n > 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F05CAC-7F73-4888-B3EB-7CF81FF455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f5957c-7da5-4c27-85eb-7459e8edadbc"/>
    <ds:schemaRef ds:uri="ba5b49d0-d563-40a1-b879-461d939a82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AB7B02-260E-42FA-AE1D-91330ECCDDD8}">
  <ds:schemaRefs>
    <ds:schemaRef ds:uri="http://schemas.microsoft.com/office/2006/metadata/properties"/>
    <ds:schemaRef ds:uri="http://purl.org/dc/dcmitype/"/>
    <ds:schemaRef ds:uri="http://purl.org/dc/terms/"/>
    <ds:schemaRef ds:uri="ba5b49d0-d563-40a1-b879-461d939a825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b7f5957c-7da5-4c27-85eb-7459e8edadbc"/>
    <ds:schemaRef ds:uri="http://www.w3.org/XML/1998/namespace"/>
  </ds:schemaRefs>
</ds:datastoreItem>
</file>

<file path=customXml/itemProps3.xml><?xml version="1.0" encoding="utf-8"?>
<ds:datastoreItem xmlns:ds="http://schemas.openxmlformats.org/officeDocument/2006/customXml" ds:itemID="{91A2E5AD-365E-4794-9614-247A416F5CD9}">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C107C902-63DE-4FE5-923B-BCFA07EBD80E}">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AA08EF11-40E4-4C3D-B55D-ED3CE7B60C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Title</vt:lpstr>
      <vt:lpstr>About</vt:lpstr>
      <vt:lpstr>Inputs</vt:lpstr>
      <vt:lpstr>Output_Visualization</vt:lpstr>
      <vt:lpstr>Cost Model_Calculations</vt:lpstr>
      <vt:lpstr>Assumptions</vt:lpstr>
      <vt:lpstr>Country_Index</vt:lpstr>
      <vt:lpstr>Dropdown_Lists</vt:lpstr>
      <vt:lpstr>Australia_SourceOptions</vt:lpstr>
      <vt:lpstr>China_SourceOptions</vt:lpstr>
      <vt:lpstr>Germany_SourceOptions</vt:lpstr>
      <vt:lpstr>India_SourceOptions</vt:lpstr>
      <vt:lpstr>US_SourceOptions</vt:lpstr>
      <vt:lpstr>Vietnam_SourceOptions</vt:lpstr>
    </vt:vector>
  </TitlesOfParts>
  <Manager/>
  <Company>WBG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Aakarshan Vaid</dc:creator>
  <cp:keywords/>
  <dc:description/>
  <cp:lastModifiedBy>Deborah Ayres</cp:lastModifiedBy>
  <cp:revision/>
  <dcterms:created xsi:type="dcterms:W3CDTF">2024-12-02T09:40:28Z</dcterms:created>
  <dcterms:modified xsi:type="dcterms:W3CDTF">2026-01-12T15:28:41Z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0x01010033005BA1203B7F46A77A330CF32A946D</vt:lpwstr>
  </property>
  <property fmtid="{D5CDD505-2E9C-101B-9397-08002B2CF9AE}" pid="3" name="MediaServiceImageTags">
    <vt:lpwstr/>
  </property>
  <property fmtid="{D5CDD505-2E9C-101B-9397-08002B2CF9AE}" pid="4" name="MSIP_Label_f1bf45b6-5649-4236-82a3-f45024cd282e_Enabled">
    <vt:lpwstr>true</vt:lpwstr>
  </property>
  <property fmtid="{D5CDD505-2E9C-101B-9397-08002B2CF9AE}" pid="5" name="MSIP_Label_f1bf45b6-5649-4236-82a3-f45024cd282e_SetDate">
    <vt:lpwstr>2025-10-28T14:09:05Z</vt:lpwstr>
  </property>
  <property fmtid="{D5CDD505-2E9C-101B-9397-08002B2CF9AE}" pid="6" name="MSIP_Label_f1bf45b6-5649-4236-82a3-f45024cd282e_Method">
    <vt:lpwstr>Standard</vt:lpwstr>
  </property>
  <property fmtid="{D5CDD505-2E9C-101B-9397-08002B2CF9AE}" pid="7" name="MSIP_Label_f1bf45b6-5649-4236-82a3-f45024cd282e_Name">
    <vt:lpwstr>Official Use Only</vt:lpwstr>
  </property>
  <property fmtid="{D5CDD505-2E9C-101B-9397-08002B2CF9AE}" pid="8" name="MSIP_Label_f1bf45b6-5649-4236-82a3-f45024cd282e_SiteId">
    <vt:lpwstr>31a2fec0-266b-4c67-b56e-2796d8f59c36</vt:lpwstr>
  </property>
  <property fmtid="{D5CDD505-2E9C-101B-9397-08002B2CF9AE}" pid="9" name="MSIP_Label_f1bf45b6-5649-4236-82a3-f45024cd282e_ActionId">
    <vt:lpwstr>5a51bfe2-b57f-4519-b40c-fee7681e7a6e</vt:lpwstr>
  </property>
  <property fmtid="{D5CDD505-2E9C-101B-9397-08002B2CF9AE}" pid="10" name="MSIP_Label_f1bf45b6-5649-4236-82a3-f45024cd282e_ContentBits">
    <vt:lpwstr>2</vt:lpwstr>
  </property>
  <property fmtid="{D5CDD505-2E9C-101B-9397-08002B2CF9AE}" pid="11" name="MSIP_Label_f1bf45b6-5649-4236-82a3-f45024cd282e_Tag">
    <vt:lpwstr>10, 3, 0, 1</vt:lpwstr>
  </property>
</Properties>
</file>